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alexa\Escritorio\ACTUAL Estados Financieros Escritorio\Año 2023\ESTADOS FINANCIEROS DICIEMBRE 2023 FORMATO EXCEL\"/>
    </mc:Choice>
  </mc:AlternateContent>
  <bookViews>
    <workbookView xWindow="0" yWindow="0" windowWidth="20490" windowHeight="7755"/>
  </bookViews>
  <sheets>
    <sheet name="DICIEMBRE 2023" sheetId="1" r:id="rId1"/>
  </sheets>
  <externalReferences>
    <externalReference r:id="rId2"/>
  </externalReferences>
  <definedNames>
    <definedName name="_xlnm.Print_Titles" localSheetId="0">'DICIEMBRE 2023'!$1:$11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1" i="1" l="1"/>
  <c r="U153" i="1"/>
  <c r="U152" i="1"/>
  <c r="U151" i="1"/>
  <c r="U150" i="1" s="1"/>
  <c r="V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U149" i="1"/>
  <c r="I148" i="1"/>
  <c r="U148" i="1" s="1"/>
  <c r="V148" i="1" s="1"/>
  <c r="V146" i="1" s="1"/>
  <c r="U147" i="1"/>
  <c r="U146" i="1" s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G139" i="1" s="1"/>
  <c r="V145" i="1"/>
  <c r="U145" i="1"/>
  <c r="U144" i="1"/>
  <c r="U143" i="1"/>
  <c r="U142" i="1"/>
  <c r="U141" i="1"/>
  <c r="R140" i="1"/>
  <c r="U140" i="1" s="1"/>
  <c r="J139" i="1"/>
  <c r="I139" i="1"/>
  <c r="V138" i="1"/>
  <c r="R138" i="1"/>
  <c r="R137" i="1" s="1"/>
  <c r="Q138" i="1"/>
  <c r="P138" i="1"/>
  <c r="O138" i="1"/>
  <c r="N138" i="1"/>
  <c r="N137" i="1" s="1"/>
  <c r="M138" i="1"/>
  <c r="L138" i="1"/>
  <c r="K138" i="1"/>
  <c r="J138" i="1"/>
  <c r="J137" i="1" s="1"/>
  <c r="H138" i="1"/>
  <c r="G138" i="1"/>
  <c r="T137" i="1"/>
  <c r="S137" i="1"/>
  <c r="Q137" i="1"/>
  <c r="P137" i="1"/>
  <c r="O137" i="1"/>
  <c r="M137" i="1"/>
  <c r="L137" i="1"/>
  <c r="K137" i="1"/>
  <c r="H137" i="1"/>
  <c r="G137" i="1"/>
  <c r="U136" i="1"/>
  <c r="U135" i="1"/>
  <c r="T134" i="1"/>
  <c r="S134" i="1"/>
  <c r="S129" i="1" s="1"/>
  <c r="R134" i="1"/>
  <c r="Q134" i="1"/>
  <c r="O134" i="1"/>
  <c r="N134" i="1"/>
  <c r="U133" i="1"/>
  <c r="V133" i="1" s="1"/>
  <c r="R132" i="1"/>
  <c r="Q132" i="1"/>
  <c r="L132" i="1"/>
  <c r="K132" i="1"/>
  <c r="I132" i="1"/>
  <c r="T131" i="1"/>
  <c r="T129" i="1" s="1"/>
  <c r="T111" i="1" s="1"/>
  <c r="O131" i="1"/>
  <c r="N131" i="1"/>
  <c r="K131" i="1"/>
  <c r="J131" i="1"/>
  <c r="I131" i="1"/>
  <c r="U130" i="1"/>
  <c r="V130" i="1" s="1"/>
  <c r="R129" i="1"/>
  <c r="Q129" i="1"/>
  <c r="P129" i="1"/>
  <c r="P111" i="1" s="1"/>
  <c r="O129" i="1"/>
  <c r="M129" i="1"/>
  <c r="L129" i="1"/>
  <c r="L111" i="1" s="1"/>
  <c r="K129" i="1"/>
  <c r="I129" i="1"/>
  <c r="H111" i="1"/>
  <c r="G129" i="1"/>
  <c r="U127" i="1"/>
  <c r="S126" i="1"/>
  <c r="R126" i="1"/>
  <c r="R125" i="1" s="1"/>
  <c r="Q126" i="1"/>
  <c r="P126" i="1"/>
  <c r="O126" i="1"/>
  <c r="N126" i="1"/>
  <c r="N125" i="1" s="1"/>
  <c r="M126" i="1"/>
  <c r="L126" i="1"/>
  <c r="K126" i="1"/>
  <c r="J126" i="1"/>
  <c r="J125" i="1" s="1"/>
  <c r="I126" i="1"/>
  <c r="H126" i="1"/>
  <c r="G126" i="1"/>
  <c r="T125" i="1"/>
  <c r="S125" i="1"/>
  <c r="Q125" i="1"/>
  <c r="P125" i="1"/>
  <c r="O125" i="1"/>
  <c r="M125" i="1"/>
  <c r="L125" i="1"/>
  <c r="K125" i="1"/>
  <c r="I125" i="1"/>
  <c r="H125" i="1"/>
  <c r="G125" i="1"/>
  <c r="U124" i="1"/>
  <c r="V123" i="1"/>
  <c r="U123" i="1"/>
  <c r="U122" i="1"/>
  <c r="V121" i="1"/>
  <c r="U121" i="1"/>
  <c r="U120" i="1"/>
  <c r="V120" i="1" s="1"/>
  <c r="V119" i="1" s="1"/>
  <c r="U119" i="1"/>
  <c r="T119" i="1"/>
  <c r="S119" i="1"/>
  <c r="R119" i="1"/>
  <c r="Q119" i="1"/>
  <c r="Q111" i="1" s="1"/>
  <c r="P119" i="1"/>
  <c r="O119" i="1"/>
  <c r="N119" i="1"/>
  <c r="M119" i="1"/>
  <c r="M111" i="1" s="1"/>
  <c r="L119" i="1"/>
  <c r="K119" i="1"/>
  <c r="J119" i="1"/>
  <c r="I119" i="1"/>
  <c r="H119" i="1"/>
  <c r="G119" i="1"/>
  <c r="U117" i="1"/>
  <c r="U116" i="1" s="1"/>
  <c r="V116" i="1"/>
  <c r="T116" i="1"/>
  <c r="S116" i="1"/>
  <c r="S111" i="1" s="1"/>
  <c r="S155" i="1" s="1"/>
  <c r="R116" i="1"/>
  <c r="Q116" i="1"/>
  <c r="P116" i="1"/>
  <c r="O116" i="1"/>
  <c r="O111" i="1" s="1"/>
  <c r="N116" i="1"/>
  <c r="M116" i="1"/>
  <c r="L116" i="1"/>
  <c r="K116" i="1"/>
  <c r="J116" i="1"/>
  <c r="I116" i="1"/>
  <c r="U114" i="1"/>
  <c r="U113" i="1"/>
  <c r="U112" i="1" s="1"/>
  <c r="G113" i="1"/>
  <c r="G112" i="1" s="1"/>
  <c r="V112" i="1"/>
  <c r="J112" i="1"/>
  <c r="I112" i="1"/>
  <c r="K111" i="1"/>
  <c r="G111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V108" i="1"/>
  <c r="U108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T105" i="1"/>
  <c r="T100" i="1" s="1"/>
  <c r="S105" i="1"/>
  <c r="R105" i="1"/>
  <c r="Q105" i="1"/>
  <c r="Q100" i="1" s="1"/>
  <c r="Q92" i="1" s="1"/>
  <c r="P105" i="1"/>
  <c r="P100" i="1" s="1"/>
  <c r="P92" i="1" s="1"/>
  <c r="O105" i="1"/>
  <c r="N105" i="1"/>
  <c r="M105" i="1"/>
  <c r="M100" i="1" s="1"/>
  <c r="M92" i="1" s="1"/>
  <c r="L105" i="1"/>
  <c r="L100" i="1" s="1"/>
  <c r="L92" i="1" s="1"/>
  <c r="K105" i="1"/>
  <c r="J105" i="1"/>
  <c r="I105" i="1"/>
  <c r="U105" i="1" s="1"/>
  <c r="V105" i="1" s="1"/>
  <c r="H105" i="1"/>
  <c r="H100" i="1" s="1"/>
  <c r="H92" i="1" s="1"/>
  <c r="G105" i="1"/>
  <c r="V104" i="1"/>
  <c r="U104" i="1"/>
  <c r="I103" i="1"/>
  <c r="V102" i="1"/>
  <c r="U102" i="1"/>
  <c r="U101" i="1"/>
  <c r="S100" i="1"/>
  <c r="R100" i="1"/>
  <c r="O100" i="1"/>
  <c r="N100" i="1"/>
  <c r="K100" i="1"/>
  <c r="J100" i="1"/>
  <c r="G100" i="1"/>
  <c r="U99" i="1"/>
  <c r="T98" i="1"/>
  <c r="U97" i="1"/>
  <c r="H97" i="1"/>
  <c r="G97" i="1"/>
  <c r="V97" i="1" s="1"/>
  <c r="S96" i="1"/>
  <c r="S92" i="1" s="1"/>
  <c r="R96" i="1"/>
  <c r="Q96" i="1"/>
  <c r="P96" i="1"/>
  <c r="O96" i="1"/>
  <c r="N96" i="1"/>
  <c r="M96" i="1"/>
  <c r="L96" i="1"/>
  <c r="K96" i="1"/>
  <c r="K92" i="1" s="1"/>
  <c r="J96" i="1"/>
  <c r="I96" i="1"/>
  <c r="H96" i="1"/>
  <c r="U94" i="1"/>
  <c r="U93" i="1"/>
  <c r="V93" i="1" s="1"/>
  <c r="R92" i="1"/>
  <c r="N92" i="1"/>
  <c r="J92" i="1"/>
  <c r="U91" i="1"/>
  <c r="R90" i="1"/>
  <c r="Q90" i="1"/>
  <c r="Q84" i="1" s="1"/>
  <c r="P90" i="1"/>
  <c r="U90" i="1" s="1"/>
  <c r="V90" i="1" s="1"/>
  <c r="U89" i="1"/>
  <c r="V89" i="1" s="1"/>
  <c r="I88" i="1"/>
  <c r="J88" i="1" s="1"/>
  <c r="V87" i="1"/>
  <c r="U87" i="1"/>
  <c r="J87" i="1"/>
  <c r="U86" i="1"/>
  <c r="N85" i="1"/>
  <c r="M85" i="1"/>
  <c r="L85" i="1"/>
  <c r="K85" i="1"/>
  <c r="I85" i="1"/>
  <c r="H85" i="1"/>
  <c r="H84" i="1" s="1"/>
  <c r="G85" i="1"/>
  <c r="G84" i="1" s="1"/>
  <c r="T84" i="1"/>
  <c r="S84" i="1"/>
  <c r="R84" i="1"/>
  <c r="P84" i="1"/>
  <c r="O84" i="1"/>
  <c r="N84" i="1"/>
  <c r="M84" i="1"/>
  <c r="L84" i="1"/>
  <c r="K84" i="1"/>
  <c r="J84" i="1"/>
  <c r="I84" i="1"/>
  <c r="U82" i="1"/>
  <c r="V81" i="1"/>
  <c r="U81" i="1"/>
  <c r="H81" i="1"/>
  <c r="V80" i="1"/>
  <c r="U80" i="1"/>
  <c r="G80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V76" i="1"/>
  <c r="U76" i="1"/>
  <c r="V75" i="1"/>
  <c r="U75" i="1"/>
  <c r="V74" i="1"/>
  <c r="V73" i="1" s="1"/>
  <c r="U74" i="1"/>
  <c r="U73" i="1" s="1"/>
  <c r="T73" i="1"/>
  <c r="T70" i="1" s="1"/>
  <c r="S73" i="1"/>
  <c r="S70" i="1" s="1"/>
  <c r="R73" i="1"/>
  <c r="Q73" i="1"/>
  <c r="P73" i="1"/>
  <c r="P70" i="1" s="1"/>
  <c r="O73" i="1"/>
  <c r="O70" i="1" s="1"/>
  <c r="N73" i="1"/>
  <c r="M73" i="1"/>
  <c r="L73" i="1"/>
  <c r="L70" i="1" s="1"/>
  <c r="K73" i="1"/>
  <c r="K70" i="1" s="1"/>
  <c r="J73" i="1"/>
  <c r="I73" i="1"/>
  <c r="H73" i="1"/>
  <c r="G73" i="1"/>
  <c r="T71" i="1"/>
  <c r="S71" i="1"/>
  <c r="R71" i="1"/>
  <c r="Q71" i="1"/>
  <c r="P71" i="1"/>
  <c r="O71" i="1"/>
  <c r="N71" i="1"/>
  <c r="M71" i="1"/>
  <c r="L71" i="1"/>
  <c r="K71" i="1"/>
  <c r="J71" i="1"/>
  <c r="I71" i="1"/>
  <c r="R70" i="1"/>
  <c r="Q70" i="1"/>
  <c r="N70" i="1"/>
  <c r="M70" i="1"/>
  <c r="J70" i="1"/>
  <c r="I70" i="1"/>
  <c r="H70" i="1"/>
  <c r="G70" i="1"/>
  <c r="V69" i="1"/>
  <c r="V68" i="1"/>
  <c r="U68" i="1"/>
  <c r="O67" i="1"/>
  <c r="O66" i="1" s="1"/>
  <c r="N67" i="1"/>
  <c r="N66" i="1" s="1"/>
  <c r="M67" i="1"/>
  <c r="K67" i="1"/>
  <c r="K66" i="1" s="1"/>
  <c r="J67" i="1"/>
  <c r="J66" i="1" s="1"/>
  <c r="I67" i="1"/>
  <c r="T66" i="1"/>
  <c r="S66" i="1"/>
  <c r="R66" i="1"/>
  <c r="Q66" i="1"/>
  <c r="P66" i="1"/>
  <c r="M66" i="1"/>
  <c r="L66" i="1"/>
  <c r="I66" i="1"/>
  <c r="H66" i="1"/>
  <c r="G66" i="1"/>
  <c r="V65" i="1"/>
  <c r="V64" i="1"/>
  <c r="U64" i="1"/>
  <c r="Q63" i="1"/>
  <c r="Q62" i="1" s="1"/>
  <c r="P63" i="1"/>
  <c r="P62" i="1" s="1"/>
  <c r="O63" i="1"/>
  <c r="N63" i="1"/>
  <c r="M63" i="1"/>
  <c r="M62" i="1" s="1"/>
  <c r="L63" i="1"/>
  <c r="L62" i="1" s="1"/>
  <c r="K63" i="1"/>
  <c r="J63" i="1"/>
  <c r="I63" i="1"/>
  <c r="T62" i="1"/>
  <c r="S62" i="1"/>
  <c r="R62" i="1"/>
  <c r="O62" i="1"/>
  <c r="N62" i="1"/>
  <c r="K62" i="1"/>
  <c r="J62" i="1"/>
  <c r="H62" i="1"/>
  <c r="G62" i="1"/>
  <c r="R60" i="1"/>
  <c r="Q60" i="1"/>
  <c r="Q58" i="1" s="1"/>
  <c r="M60" i="1"/>
  <c r="U60" i="1" s="1"/>
  <c r="V59" i="1"/>
  <c r="U59" i="1"/>
  <c r="T58" i="1"/>
  <c r="S58" i="1"/>
  <c r="R58" i="1"/>
  <c r="P58" i="1"/>
  <c r="O58" i="1"/>
  <c r="N58" i="1"/>
  <c r="M58" i="1"/>
  <c r="L58" i="1"/>
  <c r="K58" i="1"/>
  <c r="J58" i="1"/>
  <c r="I58" i="1"/>
  <c r="H58" i="1"/>
  <c r="G58" i="1"/>
  <c r="V56" i="1"/>
  <c r="V55" i="1" s="1"/>
  <c r="U56" i="1"/>
  <c r="U55" i="1"/>
  <c r="T55" i="1"/>
  <c r="T50" i="1" s="1"/>
  <c r="S55" i="1"/>
  <c r="R55" i="1"/>
  <c r="Q55" i="1"/>
  <c r="Q50" i="1" s="1"/>
  <c r="P55" i="1"/>
  <c r="O55" i="1"/>
  <c r="N55" i="1"/>
  <c r="M55" i="1"/>
  <c r="M50" i="1" s="1"/>
  <c r="M49" i="1" s="1"/>
  <c r="L55" i="1"/>
  <c r="K55" i="1"/>
  <c r="J55" i="1"/>
  <c r="I55" i="1"/>
  <c r="I50" i="1" s="1"/>
  <c r="H55" i="1"/>
  <c r="H50" i="1" s="1"/>
  <c r="H49" i="1" s="1"/>
  <c r="G55" i="1"/>
  <c r="V53" i="1"/>
  <c r="U52" i="1"/>
  <c r="R51" i="1"/>
  <c r="Q51" i="1"/>
  <c r="P51" i="1"/>
  <c r="P50" i="1" s="1"/>
  <c r="O51" i="1"/>
  <c r="N51" i="1"/>
  <c r="M51" i="1"/>
  <c r="L51" i="1"/>
  <c r="L50" i="1" s="1"/>
  <c r="K51" i="1"/>
  <c r="U51" i="1" s="1"/>
  <c r="U50" i="1" s="1"/>
  <c r="J51" i="1"/>
  <c r="I51" i="1"/>
  <c r="S50" i="1"/>
  <c r="S49" i="1" s="1"/>
  <c r="R50" i="1"/>
  <c r="R49" i="1" s="1"/>
  <c r="O50" i="1"/>
  <c r="N50" i="1"/>
  <c r="K50" i="1"/>
  <c r="K49" i="1" s="1"/>
  <c r="J50" i="1"/>
  <c r="J49" i="1" s="1"/>
  <c r="G50" i="1"/>
  <c r="Q49" i="1"/>
  <c r="U48" i="1"/>
  <c r="V47" i="1"/>
  <c r="U47" i="1"/>
  <c r="V46" i="1"/>
  <c r="U46" i="1"/>
  <c r="V45" i="1"/>
  <c r="U45" i="1"/>
  <c r="N45" i="1"/>
  <c r="J45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U43" i="1"/>
  <c r="V42" i="1"/>
  <c r="U42" i="1"/>
  <c r="I42" i="1"/>
  <c r="V41" i="1"/>
  <c r="V40" i="1" s="1"/>
  <c r="U41" i="1"/>
  <c r="I41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G40" i="1"/>
  <c r="U38" i="1"/>
  <c r="U37" i="1"/>
  <c r="V36" i="1"/>
  <c r="V33" i="1" s="1"/>
  <c r="V32" i="1" s="1"/>
  <c r="U36" i="1"/>
  <c r="U33" i="1" s="1"/>
  <c r="U32" i="1" s="1"/>
  <c r="T36" i="1"/>
  <c r="T33" i="1" s="1"/>
  <c r="T32" i="1" s="1"/>
  <c r="U35" i="1"/>
  <c r="U34" i="1"/>
  <c r="S33" i="1"/>
  <c r="S32" i="1" s="1"/>
  <c r="S13" i="1" s="1"/>
  <c r="R33" i="1"/>
  <c r="Q33" i="1"/>
  <c r="P33" i="1"/>
  <c r="O33" i="1"/>
  <c r="O32" i="1" s="1"/>
  <c r="N33" i="1"/>
  <c r="M33" i="1"/>
  <c r="L33" i="1"/>
  <c r="K33" i="1"/>
  <c r="K32" i="1" s="1"/>
  <c r="J33" i="1"/>
  <c r="I33" i="1"/>
  <c r="H33" i="1"/>
  <c r="G33" i="1"/>
  <c r="G32" i="1" s="1"/>
  <c r="G13" i="1" s="1"/>
  <c r="R32" i="1"/>
  <c r="Q32" i="1"/>
  <c r="P32" i="1"/>
  <c r="N32" i="1"/>
  <c r="M32" i="1"/>
  <c r="L32" i="1"/>
  <c r="J32" i="1"/>
  <c r="I32" i="1"/>
  <c r="H32" i="1"/>
  <c r="U30" i="1"/>
  <c r="U29" i="1"/>
  <c r="U28" i="1"/>
  <c r="U27" i="1"/>
  <c r="U26" i="1" s="1"/>
  <c r="V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U25" i="1"/>
  <c r="U24" i="1"/>
  <c r="T24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U22" i="1"/>
  <c r="V21" i="1"/>
  <c r="U21" i="1"/>
  <c r="I21" i="1"/>
  <c r="U20" i="1"/>
  <c r="T19" i="1"/>
  <c r="S19" i="1"/>
  <c r="S18" i="1" s="1"/>
  <c r="Q19" i="1"/>
  <c r="Q18" i="1" s="1"/>
  <c r="P19" i="1"/>
  <c r="O19" i="1"/>
  <c r="N19" i="1"/>
  <c r="N18" i="1" s="1"/>
  <c r="M19" i="1"/>
  <c r="M18" i="1" s="1"/>
  <c r="L19" i="1"/>
  <c r="K19" i="1"/>
  <c r="J19" i="1"/>
  <c r="J18" i="1" s="1"/>
  <c r="I19" i="1"/>
  <c r="U19" i="1" s="1"/>
  <c r="T18" i="1"/>
  <c r="R18" i="1"/>
  <c r="P18" i="1"/>
  <c r="O18" i="1"/>
  <c r="L18" i="1"/>
  <c r="K18" i="1"/>
  <c r="H18" i="1"/>
  <c r="G18" i="1"/>
  <c r="U16" i="1"/>
  <c r="T16" i="1"/>
  <c r="T15" i="1" s="1"/>
  <c r="T14" i="1" s="1"/>
  <c r="T13" i="1" s="1"/>
  <c r="H16" i="1"/>
  <c r="S15" i="1"/>
  <c r="R15" i="1"/>
  <c r="R14" i="1" s="1"/>
  <c r="R13" i="1" s="1"/>
  <c r="Q15" i="1"/>
  <c r="Q14" i="1" s="1"/>
  <c r="P15" i="1"/>
  <c r="O15" i="1"/>
  <c r="N15" i="1"/>
  <c r="N14" i="1" s="1"/>
  <c r="N13" i="1" s="1"/>
  <c r="M15" i="1"/>
  <c r="L15" i="1"/>
  <c r="K15" i="1"/>
  <c r="J15" i="1"/>
  <c r="I15" i="1"/>
  <c r="H15" i="1"/>
  <c r="G15" i="1"/>
  <c r="S14" i="1"/>
  <c r="O14" i="1"/>
  <c r="O13" i="1" s="1"/>
  <c r="M14" i="1"/>
  <c r="K14" i="1"/>
  <c r="K13" i="1" s="1"/>
  <c r="J14" i="1"/>
  <c r="J13" i="1" s="1"/>
  <c r="G14" i="1"/>
  <c r="Q13" i="1"/>
  <c r="M13" i="1"/>
  <c r="A5" i="1"/>
  <c r="V24" i="1" l="1"/>
  <c r="V23" i="1" s="1"/>
  <c r="U23" i="1"/>
  <c r="V51" i="1"/>
  <c r="V50" i="1" s="1"/>
  <c r="V60" i="1"/>
  <c r="V58" i="1" s="1"/>
  <c r="U58" i="1"/>
  <c r="L155" i="1"/>
  <c r="H14" i="1"/>
  <c r="H13" i="1" s="1"/>
  <c r="L14" i="1"/>
  <c r="L13" i="1" s="1"/>
  <c r="P14" i="1"/>
  <c r="P13" i="1" s="1"/>
  <c r="P155" i="1" s="1"/>
  <c r="V19" i="1"/>
  <c r="V18" i="1" s="1"/>
  <c r="U18" i="1"/>
  <c r="N49" i="1"/>
  <c r="L49" i="1"/>
  <c r="P49" i="1"/>
  <c r="U67" i="1"/>
  <c r="U84" i="1"/>
  <c r="V86" i="1"/>
  <c r="U88" i="1"/>
  <c r="V88" i="1" s="1"/>
  <c r="J85" i="1"/>
  <c r="M155" i="1"/>
  <c r="Q155" i="1"/>
  <c r="H155" i="1"/>
  <c r="U134" i="1"/>
  <c r="N129" i="1"/>
  <c r="I138" i="1"/>
  <c r="I137" i="1" s="1"/>
  <c r="I111" i="1" s="1"/>
  <c r="U139" i="1"/>
  <c r="U138" i="1" s="1"/>
  <c r="U137" i="1" s="1"/>
  <c r="U15" i="1"/>
  <c r="U14" i="1" s="1"/>
  <c r="V16" i="1"/>
  <c r="V15" i="1" s="1"/>
  <c r="V14" i="1" s="1"/>
  <c r="V13" i="1" s="1"/>
  <c r="I62" i="1"/>
  <c r="I49" i="1" s="1"/>
  <c r="U63" i="1"/>
  <c r="U71" i="1"/>
  <c r="V71" i="1" s="1"/>
  <c r="V70" i="1" s="1"/>
  <c r="G96" i="1"/>
  <c r="G92" i="1" s="1"/>
  <c r="G49" i="1" s="1"/>
  <c r="G155" i="1" s="1"/>
  <c r="O92" i="1"/>
  <c r="O49" i="1" s="1"/>
  <c r="O155" i="1" s="1"/>
  <c r="U98" i="1"/>
  <c r="T96" i="1"/>
  <c r="T92" i="1" s="1"/>
  <c r="I100" i="1"/>
  <c r="I92" i="1" s="1"/>
  <c r="U103" i="1"/>
  <c r="V103" i="1" s="1"/>
  <c r="U109" i="1"/>
  <c r="U107" i="1" s="1"/>
  <c r="N111" i="1"/>
  <c r="N155" i="1" s="1"/>
  <c r="R111" i="1"/>
  <c r="R155" i="1" s="1"/>
  <c r="U126" i="1"/>
  <c r="U125" i="1" s="1"/>
  <c r="V127" i="1"/>
  <c r="V126" i="1" s="1"/>
  <c r="V125" i="1" s="1"/>
  <c r="U132" i="1"/>
  <c r="V139" i="1"/>
  <c r="V137" i="1" s="1"/>
  <c r="T49" i="1"/>
  <c r="T155" i="1" s="1"/>
  <c r="V101" i="1"/>
  <c r="V100" i="1" s="1"/>
  <c r="K155" i="1"/>
  <c r="J129" i="1"/>
  <c r="J111" i="1" s="1"/>
  <c r="J155" i="1" s="1"/>
  <c r="I18" i="1"/>
  <c r="I14" i="1" s="1"/>
  <c r="I13" i="1" s="1"/>
  <c r="I155" i="1" l="1"/>
  <c r="V132" i="1"/>
  <c r="U13" i="1"/>
  <c r="V67" i="1"/>
  <c r="U66" i="1"/>
  <c r="V66" i="1" s="1"/>
  <c r="U70" i="1"/>
  <c r="U100" i="1"/>
  <c r="V109" i="1"/>
  <c r="V107" i="1" s="1"/>
  <c r="V98" i="1"/>
  <c r="V96" i="1" s="1"/>
  <c r="V92" i="1" s="1"/>
  <c r="U96" i="1"/>
  <c r="U92" i="1" s="1"/>
  <c r="V63" i="1"/>
  <c r="V62" i="1" s="1"/>
  <c r="V49" i="1" s="1"/>
  <c r="U62" i="1"/>
  <c r="V134" i="1"/>
  <c r="V85" i="1"/>
  <c r="V84" i="1"/>
  <c r="V131" i="1"/>
  <c r="U129" i="1"/>
  <c r="U85" i="1"/>
  <c r="U49" i="1"/>
  <c r="U111" i="1" l="1"/>
  <c r="V129" i="1"/>
  <c r="V111" i="1" s="1"/>
  <c r="V155" i="1" s="1"/>
  <c r="U155" i="1" l="1"/>
</calcChain>
</file>

<file path=xl/sharedStrings.xml><?xml version="1.0" encoding="utf-8"?>
<sst xmlns="http://schemas.openxmlformats.org/spreadsheetml/2006/main" count="163" uniqueCount="142">
  <si>
    <t>Presupuestados al 31 de Diciembre 2023</t>
  </si>
  <si>
    <t>(Valores en RD$)</t>
  </si>
  <si>
    <t>Clasificación Presupuestaria</t>
  </si>
  <si>
    <t xml:space="preserve">Presupuesto </t>
  </si>
  <si>
    <t>Presupuesto Ene-Dic.2023</t>
  </si>
  <si>
    <t>Presupuesto Complemantario 2023</t>
  </si>
  <si>
    <t>Ejecut. Enero,  2023</t>
  </si>
  <si>
    <t>Ejecut. Febrero,  2023</t>
  </si>
  <si>
    <t>Ejecut. Marzo,  2023</t>
  </si>
  <si>
    <t>Ejecut. Abril,  2023</t>
  </si>
  <si>
    <t>Ejecut. Mayo,  2023</t>
  </si>
  <si>
    <t>Ejecut. Junio,  2023</t>
  </si>
  <si>
    <t>Ejecut. Julio,  2023</t>
  </si>
  <si>
    <t>Ejecut. Agosto,  2023</t>
  </si>
  <si>
    <t>Ejecut. Septiembre,  2023</t>
  </si>
  <si>
    <t>Ejecut. octubre,  2023</t>
  </si>
  <si>
    <t>Ejecut. Noviembre,2023</t>
  </si>
  <si>
    <t>Ejecut Dicembre,2023</t>
  </si>
  <si>
    <t>TOTAL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</si>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</sst>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b/>
      <sz val="13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b/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4">
    <xf numFmtId="0" fontId="0" fillId="0" borderId="0" xfId="0"/>
    <xf numFmtId="0" fontId="3" fillId="0" borderId="0" xfId="0" applyFont="1"/>
    <xf numFmtId="1" fontId="3" fillId="2" borderId="0" xfId="0" applyNumberFormat="1" applyFont="1" applyFill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1" fontId="5" fillId="0" borderId="11" xfId="0" applyNumberFormat="1" applyFont="1" applyBorder="1"/>
    <xf numFmtId="164" fontId="0" fillId="0" borderId="0" xfId="0" applyNumberFormat="1"/>
    <xf numFmtId="164" fontId="5" fillId="2" borderId="7" xfId="1" applyNumberFormat="1" applyFont="1" applyFill="1" applyBorder="1"/>
    <xf numFmtId="164" fontId="5" fillId="2" borderId="8" xfId="1" applyNumberFormat="1" applyFont="1" applyFill="1" applyBorder="1"/>
    <xf numFmtId="41" fontId="7" fillId="0" borderId="3" xfId="0" applyNumberFormat="1" applyFont="1" applyBorder="1"/>
    <xf numFmtId="164" fontId="5" fillId="2" borderId="10" xfId="1" applyNumberFormat="1" applyFont="1" applyFill="1" applyBorder="1"/>
    <xf numFmtId="164" fontId="4" fillId="2" borderId="8" xfId="1" applyNumberFormat="1" applyFont="1" applyFill="1" applyBorder="1"/>
    <xf numFmtId="164" fontId="5" fillId="2" borderId="11" xfId="1" applyNumberFormat="1" applyFont="1" applyFill="1" applyBorder="1"/>
    <xf numFmtId="43" fontId="0" fillId="0" borderId="0" xfId="0" applyNumberFormat="1"/>
    <xf numFmtId="164" fontId="7" fillId="2" borderId="7" xfId="1" applyNumberFormat="1" applyFont="1" applyFill="1" applyBorder="1"/>
    <xf numFmtId="164" fontId="7" fillId="2" borderId="8" xfId="1" applyNumberFormat="1" applyFont="1" applyFill="1" applyBorder="1"/>
    <xf numFmtId="164" fontId="7" fillId="2" borderId="10" xfId="1" applyNumberFormat="1" applyFont="1" applyFill="1" applyBorder="1"/>
    <xf numFmtId="164" fontId="5" fillId="2" borderId="5" xfId="1" applyNumberFormat="1" applyFont="1" applyFill="1" applyBorder="1"/>
    <xf numFmtId="164" fontId="5" fillId="2" borderId="3" xfId="1" applyNumberFormat="1" applyFont="1" applyFill="1" applyBorder="1"/>
    <xf numFmtId="164" fontId="7" fillId="2" borderId="3" xfId="1" applyNumberFormat="1" applyFont="1" applyFill="1" applyBorder="1"/>
    <xf numFmtId="0" fontId="2" fillId="0" borderId="0" xfId="0" applyFont="1"/>
    <xf numFmtId="43" fontId="2" fillId="0" borderId="0" xfId="0" applyNumberFormat="1" applyFont="1"/>
    <xf numFmtId="41" fontId="0" fillId="0" borderId="0" xfId="0" applyNumberFormat="1"/>
    <xf numFmtId="164" fontId="7" fillId="2" borderId="11" xfId="1" applyNumberFormat="1" applyFont="1" applyFill="1" applyBorder="1"/>
    <xf numFmtId="164" fontId="5" fillId="2" borderId="13" xfId="1" applyNumberFormat="1" applyFont="1" applyFill="1" applyBorder="1"/>
    <xf numFmtId="0" fontId="0" fillId="2" borderId="0" xfId="0" applyFill="1"/>
    <xf numFmtId="41" fontId="5" fillId="0" borderId="7" xfId="0" applyNumberFormat="1" applyFont="1" applyBorder="1"/>
    <xf numFmtId="41" fontId="5" fillId="0" borderId="3" xfId="0" applyNumberFormat="1" applyFont="1" applyBorder="1"/>
    <xf numFmtId="43" fontId="0" fillId="0" borderId="0" xfId="1" applyFont="1"/>
    <xf numFmtId="41" fontId="7" fillId="0" borderId="8" xfId="0" applyNumberFormat="1" applyFont="1" applyBorder="1"/>
    <xf numFmtId="41" fontId="5" fillId="0" borderId="10" xfId="0" applyNumberFormat="1" applyFont="1" applyBorder="1"/>
    <xf numFmtId="164" fontId="4" fillId="2" borderId="3" xfId="1" applyNumberFormat="1" applyFont="1" applyFill="1" applyBorder="1"/>
    <xf numFmtId="1" fontId="0" fillId="2" borderId="0" xfId="0" applyNumberFormat="1" applyFill="1"/>
    <xf numFmtId="164" fontId="8" fillId="0" borderId="0" xfId="0" applyNumberFormat="1" applyFont="1"/>
    <xf numFmtId="0" fontId="8" fillId="0" borderId="0" xfId="0" applyFont="1"/>
    <xf numFmtId="0" fontId="9" fillId="0" borderId="0" xfId="0" applyFont="1"/>
    <xf numFmtId="164" fontId="0" fillId="2" borderId="0" xfId="0" applyNumberFormat="1" applyFill="1"/>
    <xf numFmtId="43" fontId="0" fillId="2" borderId="0" xfId="1" applyFont="1" applyFill="1"/>
    <xf numFmtId="43" fontId="0" fillId="0" borderId="14" xfId="1" applyFont="1" applyBorder="1"/>
    <xf numFmtId="43" fontId="0" fillId="0" borderId="19" xfId="1" applyFont="1" applyBorder="1"/>
    <xf numFmtId="43" fontId="3" fillId="0" borderId="0" xfId="0" applyNumberFormat="1" applyFont="1"/>
    <xf numFmtId="0" fontId="11" fillId="0" borderId="0" xfId="0" applyFont="1" applyAlignment="1">
      <alignment horizontal="center"/>
    </xf>
    <xf numFmtId="43" fontId="4" fillId="2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43" fontId="6" fillId="0" borderId="0" xfId="0" applyNumberFormat="1" applyFont="1"/>
    <xf numFmtId="41" fontId="3" fillId="0" borderId="0" xfId="0" applyNumberFormat="1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1" fillId="0" borderId="0" xfId="0" applyNumberFormat="1" applyFont="1"/>
    <xf numFmtId="43" fontId="12" fillId="0" borderId="0" xfId="0" applyNumberFormat="1" applyFont="1"/>
    <xf numFmtId="43" fontId="11" fillId="0" borderId="0" xfId="1" applyFont="1" applyBorder="1" applyAlignment="1">
      <alignment horizontal="center"/>
    </xf>
    <xf numFmtId="43" fontId="2" fillId="0" borderId="0" xfId="1" applyFont="1"/>
    <xf numFmtId="41" fontId="12" fillId="0" borderId="0" xfId="0" applyNumberFormat="1" applyFont="1" applyAlignment="1">
      <alignment horizontal="left"/>
    </xf>
    <xf numFmtId="41" fontId="3" fillId="0" borderId="0" xfId="0" applyNumberFormat="1" applyFont="1" applyAlignment="1">
      <alignment horizontal="left"/>
    </xf>
    <xf numFmtId="43" fontId="3" fillId="0" borderId="0" xfId="1" applyFont="1" applyAlignment="1">
      <alignment horizontal="center"/>
    </xf>
    <xf numFmtId="43" fontId="11" fillId="0" borderId="0" xfId="0" applyNumberFormat="1" applyFont="1" applyAlignment="1">
      <alignment horizontal="center"/>
    </xf>
    <xf numFmtId="43" fontId="3" fillId="2" borderId="0" xfId="1" applyFont="1" applyFill="1" applyBorder="1" applyAlignment="1">
      <alignment horizontal="left"/>
    </xf>
    <xf numFmtId="43" fontId="0" fillId="0" borderId="0" xfId="1" applyFont="1" applyBorder="1"/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2" borderId="0" xfId="0" applyNumberFormat="1" applyFont="1" applyFill="1" applyAlignment="1">
      <alignment horizontal="center"/>
    </xf>
    <xf numFmtId="41" fontId="3" fillId="0" borderId="0" xfId="0" applyNumberFormat="1" applyFont="1"/>
    <xf numFmtId="43" fontId="12" fillId="0" borderId="0" xfId="1" applyFont="1" applyAlignment="1">
      <alignment horizontal="left"/>
    </xf>
    <xf numFmtId="43" fontId="12" fillId="0" borderId="0" xfId="1" applyFont="1"/>
    <xf numFmtId="43" fontId="12" fillId="0" borderId="0" xfId="1" applyFont="1" applyAlignment="1">
      <alignment horizontal="center"/>
    </xf>
    <xf numFmtId="43" fontId="12" fillId="0" borderId="20" xfId="1" applyFont="1" applyBorder="1"/>
    <xf numFmtId="43" fontId="12" fillId="0" borderId="20" xfId="0" applyNumberFormat="1" applyFont="1" applyBorder="1"/>
    <xf numFmtId="43" fontId="3" fillId="0" borderId="0" xfId="1" applyFont="1"/>
    <xf numFmtId="43" fontId="12" fillId="2" borderId="0" xfId="1" applyFont="1" applyFill="1" applyAlignment="1">
      <alignment horizontal="left"/>
    </xf>
    <xf numFmtId="43" fontId="3" fillId="2" borderId="0" xfId="1" applyFont="1" applyFill="1" applyAlignment="1">
      <alignment horizontal="left"/>
    </xf>
    <xf numFmtId="43" fontId="12" fillId="2" borderId="0" xfId="1" applyFont="1" applyFill="1"/>
    <xf numFmtId="43" fontId="12" fillId="2" borderId="0" xfId="1" applyFont="1" applyFill="1" applyBorder="1"/>
    <xf numFmtId="43" fontId="12" fillId="2" borderId="15" xfId="1" applyFont="1" applyFill="1" applyBorder="1"/>
    <xf numFmtId="43" fontId="2" fillId="2" borderId="0" xfId="1" applyFont="1" applyFill="1" applyAlignment="1">
      <alignment horizontal="left"/>
    </xf>
    <xf numFmtId="43" fontId="12" fillId="2" borderId="21" xfId="1" applyFont="1" applyFill="1" applyBorder="1"/>
    <xf numFmtId="0" fontId="13" fillId="0" borderId="0" xfId="0" applyFont="1"/>
    <xf numFmtId="1" fontId="13" fillId="2" borderId="0" xfId="0" applyNumberFormat="1" applyFont="1" applyFill="1"/>
    <xf numFmtId="0" fontId="15" fillId="0" borderId="0" xfId="0" applyFont="1"/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" fontId="16" fillId="2" borderId="0" xfId="0" applyNumberFormat="1" applyFont="1" applyFill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4" xfId="0" applyFont="1" applyBorder="1"/>
    <xf numFmtId="1" fontId="16" fillId="2" borderId="4" xfId="0" applyNumberFormat="1" applyFont="1" applyFill="1" applyBorder="1"/>
    <xf numFmtId="1" fontId="16" fillId="2" borderId="1" xfId="0" applyNumberFormat="1" applyFont="1" applyFill="1" applyBorder="1"/>
    <xf numFmtId="0" fontId="16" fillId="0" borderId="5" xfId="0" applyFont="1" applyBorder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0" borderId="5" xfId="0" applyFont="1" applyBorder="1" applyAlignment="1">
      <alignment horizontal="center" wrapText="1"/>
    </xf>
    <xf numFmtId="1" fontId="16" fillId="2" borderId="5" xfId="0" applyNumberFormat="1" applyFont="1" applyFill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7" fillId="0" borderId="5" xfId="0" applyFont="1" applyBorder="1"/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1" fontId="16" fillId="2" borderId="5" xfId="0" applyNumberFormat="1" applyFont="1" applyFill="1" applyBorder="1" applyAlignment="1">
      <alignment horizontal="center"/>
    </xf>
    <xf numFmtId="0" fontId="15" fillId="0" borderId="7" xfId="0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/>
    <xf numFmtId="0" fontId="15" fillId="0" borderId="9" xfId="0" applyFont="1" applyBorder="1"/>
    <xf numFmtId="0" fontId="16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 wrapText="1"/>
    </xf>
    <xf numFmtId="41" fontId="16" fillId="0" borderId="9" xfId="0" applyNumberFormat="1" applyFont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7" xfId="0" applyFont="1" applyBorder="1" applyAlignment="1">
      <alignment horizontal="left" wrapText="1"/>
    </xf>
    <xf numFmtId="41" fontId="16" fillId="0" borderId="6" xfId="0" applyNumberFormat="1" applyFont="1" applyBorder="1"/>
    <xf numFmtId="164" fontId="16" fillId="2" borderId="7" xfId="1" applyNumberFormat="1" applyFont="1" applyFill="1" applyBorder="1"/>
    <xf numFmtId="41" fontId="18" fillId="0" borderId="5" xfId="0" applyNumberFormat="1" applyFont="1" applyBorder="1"/>
    <xf numFmtId="164" fontId="18" fillId="2" borderId="5" xfId="1" applyNumberFormat="1" applyFont="1" applyFill="1" applyBorder="1"/>
    <xf numFmtId="41" fontId="18" fillId="2" borderId="5" xfId="0" applyNumberFormat="1" applyFont="1" applyFill="1" applyBorder="1"/>
    <xf numFmtId="0" fontId="15" fillId="0" borderId="7" xfId="0" applyFont="1" applyBorder="1" applyAlignment="1">
      <alignment wrapText="1"/>
    </xf>
    <xf numFmtId="41" fontId="16" fillId="0" borderId="9" xfId="0" applyNumberFormat="1" applyFont="1" applyBorder="1"/>
    <xf numFmtId="164" fontId="16" fillId="2" borderId="9" xfId="1" applyNumberFormat="1" applyFont="1" applyFill="1" applyBorder="1"/>
    <xf numFmtId="41" fontId="15" fillId="0" borderId="7" xfId="0" applyNumberFormat="1" applyFont="1" applyBorder="1"/>
    <xf numFmtId="164" fontId="15" fillId="2" borderId="7" xfId="1" applyNumberFormat="1" applyFont="1" applyFill="1" applyBorder="1"/>
    <xf numFmtId="0" fontId="16" fillId="0" borderId="7" xfId="0" applyFont="1" applyBorder="1" applyAlignment="1">
      <alignment wrapText="1"/>
    </xf>
    <xf numFmtId="164" fontId="16" fillId="2" borderId="6" xfId="1" applyNumberFormat="1" applyFont="1" applyFill="1" applyBorder="1"/>
    <xf numFmtId="0" fontId="18" fillId="0" borderId="7" xfId="0" applyFont="1" applyBorder="1" applyAlignment="1">
      <alignment wrapText="1"/>
    </xf>
    <xf numFmtId="41" fontId="18" fillId="0" borderId="9" xfId="0" applyNumberFormat="1" applyFont="1" applyBorder="1"/>
    <xf numFmtId="41" fontId="18" fillId="0" borderId="7" xfId="0" applyNumberFormat="1" applyFont="1" applyBorder="1"/>
    <xf numFmtId="164" fontId="15" fillId="0" borderId="7" xfId="1" applyNumberFormat="1" applyFont="1" applyFill="1" applyBorder="1"/>
    <xf numFmtId="164" fontId="18" fillId="2" borderId="9" xfId="1" applyNumberFormat="1" applyFont="1" applyFill="1" applyBorder="1"/>
    <xf numFmtId="164" fontId="18" fillId="2" borderId="7" xfId="1" applyNumberFormat="1" applyFont="1" applyFill="1" applyBorder="1"/>
    <xf numFmtId="41" fontId="18" fillId="0" borderId="6" xfId="0" applyNumberFormat="1" applyFont="1" applyBorder="1"/>
    <xf numFmtId="41" fontId="16" fillId="0" borderId="5" xfId="0" applyNumberFormat="1" applyFont="1" applyBorder="1"/>
    <xf numFmtId="164" fontId="16" fillId="2" borderId="5" xfId="1" applyNumberFormat="1" applyFont="1" applyFill="1" applyBorder="1"/>
    <xf numFmtId="41" fontId="19" fillId="0" borderId="7" xfId="0" applyNumberFormat="1" applyFont="1" applyBorder="1"/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164" fontId="18" fillId="2" borderId="6" xfId="1" applyNumberFormat="1" applyFont="1" applyFill="1" applyBorder="1"/>
    <xf numFmtId="164" fontId="16" fillId="2" borderId="12" xfId="1" applyNumberFormat="1" applyFont="1" applyFill="1" applyBorder="1"/>
    <xf numFmtId="0" fontId="18" fillId="0" borderId="7" xfId="0" applyFont="1" applyBorder="1" applyAlignment="1">
      <alignment horizontal="center"/>
    </xf>
    <xf numFmtId="164" fontId="18" fillId="0" borderId="7" xfId="1" applyNumberFormat="1" applyFont="1" applyFill="1" applyBorder="1"/>
    <xf numFmtId="164" fontId="18" fillId="2" borderId="14" xfId="1" applyNumberFormat="1" applyFont="1" applyFill="1" applyBorder="1"/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7" xfId="0" applyFont="1" applyFill="1" applyBorder="1" applyAlignment="1">
      <alignment wrapText="1"/>
    </xf>
    <xf numFmtId="41" fontId="18" fillId="2" borderId="6" xfId="0" applyNumberFormat="1" applyFont="1" applyFill="1" applyBorder="1"/>
    <xf numFmtId="164" fontId="18" fillId="0" borderId="5" xfId="1" applyNumberFormat="1" applyFont="1" applyFill="1" applyBorder="1"/>
    <xf numFmtId="41" fontId="18" fillId="2" borderId="7" xfId="0" applyNumberFormat="1" applyFont="1" applyFill="1" applyBorder="1"/>
    <xf numFmtId="41" fontId="16" fillId="0" borderId="7" xfId="0" applyNumberFormat="1" applyFont="1" applyBorder="1"/>
    <xf numFmtId="41" fontId="16" fillId="2" borderId="5" xfId="0" applyNumberFormat="1" applyFont="1" applyFill="1" applyBorder="1"/>
    <xf numFmtId="0" fontId="18" fillId="2" borderId="7" xfId="0" applyFont="1" applyFill="1" applyBorder="1" applyAlignment="1">
      <alignment wrapText="1"/>
    </xf>
    <xf numFmtId="0" fontId="18" fillId="0" borderId="14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41" fontId="18" fillId="2" borderId="9" xfId="0" applyNumberFormat="1" applyFont="1" applyFill="1" applyBorder="1"/>
    <xf numFmtId="41" fontId="16" fillId="0" borderId="12" xfId="0" applyNumberFormat="1" applyFont="1" applyBorder="1"/>
    <xf numFmtId="164" fontId="15" fillId="2" borderId="5" xfId="1" applyNumberFormat="1" applyFont="1" applyFill="1" applyBorder="1"/>
    <xf numFmtId="0" fontId="16" fillId="0" borderId="8" xfId="0" applyFont="1" applyBorder="1" applyAlignment="1">
      <alignment wrapText="1"/>
    </xf>
    <xf numFmtId="0" fontId="18" fillId="0" borderId="8" xfId="0" applyFont="1" applyBorder="1" applyAlignment="1">
      <alignment wrapText="1"/>
    </xf>
    <xf numFmtId="164" fontId="18" fillId="2" borderId="0" xfId="1" applyNumberFormat="1" applyFont="1" applyFill="1" applyBorder="1"/>
    <xf numFmtId="0" fontId="16" fillId="0" borderId="8" xfId="0" applyFont="1" applyBorder="1" applyAlignment="1">
      <alignment horizontal="center"/>
    </xf>
    <xf numFmtId="164" fontId="18" fillId="2" borderId="15" xfId="1" applyNumberFormat="1" applyFont="1" applyFill="1" applyBorder="1"/>
    <xf numFmtId="164" fontId="18" fillId="2" borderId="2" xfId="1" applyNumberFormat="1" applyFont="1" applyFill="1" applyBorder="1"/>
    <xf numFmtId="0" fontId="18" fillId="0" borderId="8" xfId="0" applyFont="1" applyBorder="1" applyAlignment="1">
      <alignment horizontal="center"/>
    </xf>
    <xf numFmtId="164" fontId="18" fillId="2" borderId="16" xfId="1" applyNumberFormat="1" applyFont="1" applyFill="1" applyBorder="1"/>
    <xf numFmtId="164" fontId="18" fillId="2" borderId="17" xfId="1" applyNumberFormat="1" applyFont="1" applyFill="1" applyBorder="1"/>
    <xf numFmtId="164" fontId="16" fillId="2" borderId="18" xfId="1" applyNumberFormat="1" applyFont="1" applyFill="1" applyBorder="1"/>
    <xf numFmtId="164" fontId="16" fillId="2" borderId="15" xfId="1" applyNumberFormat="1" applyFont="1" applyFill="1" applyBorder="1"/>
    <xf numFmtId="164" fontId="18" fillId="0" borderId="14" xfId="1" applyNumberFormat="1" applyFont="1" applyFill="1" applyBorder="1"/>
    <xf numFmtId="0" fontId="15" fillId="0" borderId="8" xfId="0" applyFont="1" applyBorder="1" applyAlignment="1">
      <alignment wrapText="1"/>
    </xf>
    <xf numFmtId="0" fontId="18" fillId="0" borderId="14" xfId="0" applyFont="1" applyBorder="1"/>
    <xf numFmtId="41" fontId="18" fillId="0" borderId="14" xfId="0" applyNumberFormat="1" applyFont="1" applyBorder="1"/>
    <xf numFmtId="164" fontId="16" fillId="2" borderId="14" xfId="1" applyNumberFormat="1" applyFont="1" applyFill="1" applyBorder="1"/>
    <xf numFmtId="164" fontId="18" fillId="2" borderId="18" xfId="1" applyNumberFormat="1" applyFont="1" applyFill="1" applyBorder="1"/>
    <xf numFmtId="0" fontId="15" fillId="0" borderId="6" xfId="0" applyFont="1" applyBorder="1" applyAlignment="1">
      <alignment horizontal="center"/>
    </xf>
    <xf numFmtId="0" fontId="15" fillId="0" borderId="11" xfId="0" applyFont="1" applyBorder="1"/>
    <xf numFmtId="0" fontId="15" fillId="0" borderId="6" xfId="0" applyFont="1" applyBorder="1"/>
    <xf numFmtId="0" fontId="16" fillId="0" borderId="18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1" fontId="15" fillId="0" borderId="0" xfId="0" applyNumberFormat="1" applyFont="1"/>
    <xf numFmtId="1" fontId="15" fillId="2" borderId="0" xfId="0" applyNumberFormat="1" applyFont="1" applyFill="1"/>
    <xf numFmtId="49" fontId="15" fillId="0" borderId="0" xfId="0" applyNumberFormat="1" applyFont="1" applyAlignment="1">
      <alignment horizontal="center"/>
    </xf>
    <xf numFmtId="0" fontId="20" fillId="0" borderId="0" xfId="0" applyFont="1"/>
    <xf numFmtId="43" fontId="15" fillId="2" borderId="0" xfId="1" applyFont="1" applyFill="1" applyBorder="1"/>
    <xf numFmtId="43" fontId="15" fillId="2" borderId="0" xfId="1" applyFont="1" applyFill="1"/>
    <xf numFmtId="43" fontId="13" fillId="2" borderId="0" xfId="1" applyFont="1" applyFill="1" applyBorder="1"/>
    <xf numFmtId="43" fontId="13" fillId="0" borderId="0" xfId="0" applyNumberFormat="1" applyFont="1"/>
    <xf numFmtId="49" fontId="15" fillId="0" borderId="0" xfId="0" applyNumberFormat="1" applyFont="1"/>
    <xf numFmtId="0" fontId="20" fillId="0" borderId="0" xfId="0" applyFont="1" applyAlignment="1">
      <alignment horizontal="center"/>
    </xf>
    <xf numFmtId="41" fontId="15" fillId="0" borderId="0" xfId="0" applyNumberFormat="1" applyFont="1" applyAlignment="1">
      <alignment horizontal="center"/>
    </xf>
    <xf numFmtId="43" fontId="15" fillId="2" borderId="0" xfId="1" applyFont="1" applyFill="1" applyBorder="1" applyAlignment="1">
      <alignment horizontal="center"/>
    </xf>
    <xf numFmtId="43" fontId="13" fillId="2" borderId="0" xfId="1" applyFont="1" applyFill="1" applyBorder="1" applyAlignment="1">
      <alignment horizontal="center"/>
    </xf>
    <xf numFmtId="43" fontId="13" fillId="0" borderId="0" xfId="0" applyNumberFormat="1" applyFont="1" applyAlignment="1">
      <alignment horizontal="center"/>
    </xf>
    <xf numFmtId="41" fontId="13" fillId="0" borderId="0" xfId="0" applyNumberFormat="1" applyFont="1" applyAlignment="1">
      <alignment horizontal="center"/>
    </xf>
    <xf numFmtId="41" fontId="21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20" fillId="0" borderId="17" xfId="0" applyFont="1" applyBorder="1" applyAlignment="1">
      <alignment horizontal="center"/>
    </xf>
    <xf numFmtId="41" fontId="22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1" fontId="23" fillId="0" borderId="0" xfId="0" applyNumberFormat="1" applyFont="1" applyAlignment="1">
      <alignment horizontal="center"/>
    </xf>
    <xf numFmtId="43" fontId="13" fillId="2" borderId="0" xfId="1" applyFont="1" applyFill="1" applyAlignment="1">
      <alignment horizontal="center"/>
    </xf>
    <xf numFmtId="0" fontId="20" fillId="0" borderId="15" xfId="0" applyFont="1" applyBorder="1" applyAlignment="1">
      <alignment horizontal="center"/>
    </xf>
    <xf numFmtId="41" fontId="20" fillId="0" borderId="0" xfId="0" applyNumberFormat="1" applyFont="1" applyAlignment="1">
      <alignment horizontal="center"/>
    </xf>
    <xf numFmtId="43" fontId="20" fillId="0" borderId="0" xfId="1" applyFont="1" applyAlignment="1">
      <alignment horizontal="center"/>
    </xf>
    <xf numFmtId="43" fontId="21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3" fontId="13" fillId="2" borderId="0" xfId="1" applyFont="1" applyFill="1"/>
    <xf numFmtId="43" fontId="13" fillId="0" borderId="0" xfId="1" applyFont="1"/>
    <xf numFmtId="43" fontId="13" fillId="0" borderId="0" xfId="1" applyFont="1" applyBorder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51"/>
  <sheetViews>
    <sheetView tabSelected="1" topLeftCell="A7" workbookViewId="0">
      <selection activeCell="H4" sqref="H4"/>
    </sheetView>
  </sheetViews>
  <sheetFormatPr baseColWidth="10" defaultColWidth="11.42578125" defaultRowHeight="15" x14ac:dyDescent="0.25"/>
  <cols>
    <col min="1" max="1" width="4.85546875" bestFit="1" customWidth="1"/>
    <col min="2" max="2" width="5.85546875" bestFit="1" customWidth="1"/>
    <col min="3" max="3" width="7.42578125" bestFit="1" customWidth="1"/>
    <col min="4" max="4" width="5.7109375" customWidth="1"/>
    <col min="5" max="5" width="4.5703125" customWidth="1"/>
    <col min="6" max="6" width="24.85546875" customWidth="1"/>
    <col min="7" max="7" width="16.7109375" customWidth="1"/>
    <col min="8" max="8" width="16.85546875" customWidth="1"/>
    <col min="9" max="9" width="14.5703125" style="33" customWidth="1"/>
    <col min="10" max="10" width="16.7109375" style="33" customWidth="1"/>
    <col min="11" max="11" width="16.5703125" style="33" customWidth="1"/>
    <col min="12" max="12" width="14.5703125" style="33" customWidth="1"/>
    <col min="13" max="13" width="14" style="33" customWidth="1"/>
    <col min="14" max="14" width="13.85546875" style="33" customWidth="1"/>
    <col min="15" max="15" width="14.28515625" style="33" customWidth="1"/>
    <col min="16" max="16" width="14.7109375" style="33" customWidth="1"/>
    <col min="17" max="17" width="13.42578125" style="33" customWidth="1"/>
    <col min="18" max="18" width="14.7109375" style="33" customWidth="1"/>
    <col min="19" max="19" width="13.5703125" style="33" customWidth="1"/>
    <col min="20" max="20" width="17.28515625" style="33" bestFit="1" customWidth="1"/>
    <col min="21" max="21" width="22.5703125" customWidth="1"/>
    <col min="22" max="22" width="23.42578125" hidden="1" customWidth="1"/>
    <col min="23" max="23" width="36.85546875" customWidth="1"/>
    <col min="24" max="24" width="16.5703125" customWidth="1"/>
    <col min="25" max="25" width="63.28515625" customWidth="1"/>
    <col min="26" max="26" width="20.42578125" customWidth="1"/>
    <col min="27" max="27" width="20.140625" customWidth="1"/>
    <col min="28" max="28" width="33.85546875" customWidth="1"/>
    <col min="29" max="29" width="46.5703125" customWidth="1"/>
    <col min="30" max="30" width="40.85546875" customWidth="1"/>
    <col min="31" max="31" width="18.7109375" customWidth="1"/>
    <col min="32" max="32" width="17" customWidth="1"/>
    <col min="33" max="33" width="63.85546875" customWidth="1"/>
    <col min="34" max="34" width="38.140625" customWidth="1"/>
    <col min="35" max="35" width="13.85546875" bestFit="1" customWidth="1"/>
    <col min="36" max="36" width="36.7109375" customWidth="1"/>
    <col min="37" max="37" width="14.140625" bestFit="1" customWidth="1"/>
    <col min="38" max="38" width="87.140625" customWidth="1"/>
    <col min="39" max="39" width="37.5703125" customWidth="1"/>
    <col min="40" max="40" width="19.42578125" customWidth="1"/>
    <col min="41" max="41" width="66.42578125" customWidth="1"/>
    <col min="42" max="42" width="28.5703125" customWidth="1"/>
    <col min="43" max="43" width="19.140625" customWidth="1"/>
    <col min="44" max="45" width="14.140625" bestFit="1" customWidth="1"/>
    <col min="46" max="46" width="19.7109375" customWidth="1"/>
    <col min="48" max="48" width="13.140625" bestFit="1" customWidth="1"/>
    <col min="252" max="252" width="4.85546875" bestFit="1" customWidth="1"/>
    <col min="253" max="253" width="5.85546875" bestFit="1" customWidth="1"/>
    <col min="254" max="254" width="7.42578125" bestFit="1" customWidth="1"/>
    <col min="255" max="255" width="8.140625" bestFit="1" customWidth="1"/>
    <col min="256" max="256" width="4.5703125" bestFit="1" customWidth="1"/>
    <col min="257" max="257" width="57.5703125" customWidth="1"/>
    <col min="258" max="258" width="14.28515625" customWidth="1"/>
    <col min="259" max="259" width="0.85546875" customWidth="1"/>
    <col min="260" max="260" width="16.5703125" bestFit="1" customWidth="1"/>
    <col min="261" max="261" width="13.42578125" bestFit="1" customWidth="1"/>
    <col min="508" max="508" width="4.85546875" bestFit="1" customWidth="1"/>
    <col min="509" max="509" width="5.85546875" bestFit="1" customWidth="1"/>
    <col min="510" max="510" width="7.42578125" bestFit="1" customWidth="1"/>
    <col min="511" max="511" width="8.140625" bestFit="1" customWidth="1"/>
    <col min="512" max="512" width="4.5703125" bestFit="1" customWidth="1"/>
    <col min="513" max="513" width="57.5703125" customWidth="1"/>
    <col min="514" max="514" width="14.28515625" customWidth="1"/>
    <col min="515" max="515" width="0.85546875" customWidth="1"/>
    <col min="516" max="516" width="16.5703125" bestFit="1" customWidth="1"/>
    <col min="517" max="517" width="13.42578125" bestFit="1" customWidth="1"/>
    <col min="764" max="764" width="4.85546875" bestFit="1" customWidth="1"/>
    <col min="765" max="765" width="5.85546875" bestFit="1" customWidth="1"/>
    <col min="766" max="766" width="7.42578125" bestFit="1" customWidth="1"/>
    <col min="767" max="767" width="8.140625" bestFit="1" customWidth="1"/>
    <col min="768" max="768" width="4.5703125" bestFit="1" customWidth="1"/>
    <col min="769" max="769" width="57.5703125" customWidth="1"/>
    <col min="770" max="770" width="14.28515625" customWidth="1"/>
    <col min="771" max="771" width="0.85546875" customWidth="1"/>
    <col min="772" max="772" width="16.5703125" bestFit="1" customWidth="1"/>
    <col min="773" max="773" width="13.42578125" bestFit="1" customWidth="1"/>
    <col min="1020" max="1020" width="4.85546875" bestFit="1" customWidth="1"/>
    <col min="1021" max="1021" width="5.85546875" bestFit="1" customWidth="1"/>
    <col min="1022" max="1022" width="7.42578125" bestFit="1" customWidth="1"/>
    <col min="1023" max="1023" width="8.140625" bestFit="1" customWidth="1"/>
    <col min="1024" max="1024" width="4.5703125" bestFit="1" customWidth="1"/>
    <col min="1025" max="1025" width="57.5703125" customWidth="1"/>
    <col min="1026" max="1026" width="14.28515625" customWidth="1"/>
    <col min="1027" max="1027" width="0.85546875" customWidth="1"/>
    <col min="1028" max="1028" width="16.5703125" bestFit="1" customWidth="1"/>
    <col min="1029" max="1029" width="13.42578125" bestFit="1" customWidth="1"/>
    <col min="1276" max="1276" width="4.85546875" bestFit="1" customWidth="1"/>
    <col min="1277" max="1277" width="5.85546875" bestFit="1" customWidth="1"/>
    <col min="1278" max="1278" width="7.42578125" bestFit="1" customWidth="1"/>
    <col min="1279" max="1279" width="8.140625" bestFit="1" customWidth="1"/>
    <col min="1280" max="1280" width="4.5703125" bestFit="1" customWidth="1"/>
    <col min="1281" max="1281" width="57.5703125" customWidth="1"/>
    <col min="1282" max="1282" width="14.28515625" customWidth="1"/>
    <col min="1283" max="1283" width="0.85546875" customWidth="1"/>
    <col min="1284" max="1284" width="16.5703125" bestFit="1" customWidth="1"/>
    <col min="1285" max="1285" width="13.42578125" bestFit="1" customWidth="1"/>
    <col min="1532" max="1532" width="4.85546875" bestFit="1" customWidth="1"/>
    <col min="1533" max="1533" width="5.85546875" bestFit="1" customWidth="1"/>
    <col min="1534" max="1534" width="7.42578125" bestFit="1" customWidth="1"/>
    <col min="1535" max="1535" width="8.140625" bestFit="1" customWidth="1"/>
    <col min="1536" max="1536" width="4.5703125" bestFit="1" customWidth="1"/>
    <col min="1537" max="1537" width="57.5703125" customWidth="1"/>
    <col min="1538" max="1538" width="14.28515625" customWidth="1"/>
    <col min="1539" max="1539" width="0.85546875" customWidth="1"/>
    <col min="1540" max="1540" width="16.5703125" bestFit="1" customWidth="1"/>
    <col min="1541" max="1541" width="13.42578125" bestFit="1" customWidth="1"/>
    <col min="1788" max="1788" width="4.85546875" bestFit="1" customWidth="1"/>
    <col min="1789" max="1789" width="5.85546875" bestFit="1" customWidth="1"/>
    <col min="1790" max="1790" width="7.42578125" bestFit="1" customWidth="1"/>
    <col min="1791" max="1791" width="8.140625" bestFit="1" customWidth="1"/>
    <col min="1792" max="1792" width="4.5703125" bestFit="1" customWidth="1"/>
    <col min="1793" max="1793" width="57.5703125" customWidth="1"/>
    <col min="1794" max="1794" width="14.28515625" customWidth="1"/>
    <col min="1795" max="1795" width="0.85546875" customWidth="1"/>
    <col min="1796" max="1796" width="16.5703125" bestFit="1" customWidth="1"/>
    <col min="1797" max="1797" width="13.42578125" bestFit="1" customWidth="1"/>
    <col min="2044" max="2044" width="4.85546875" bestFit="1" customWidth="1"/>
    <col min="2045" max="2045" width="5.85546875" bestFit="1" customWidth="1"/>
    <col min="2046" max="2046" width="7.42578125" bestFit="1" customWidth="1"/>
    <col min="2047" max="2047" width="8.140625" bestFit="1" customWidth="1"/>
    <col min="2048" max="2048" width="4.5703125" bestFit="1" customWidth="1"/>
    <col min="2049" max="2049" width="57.5703125" customWidth="1"/>
    <col min="2050" max="2050" width="14.28515625" customWidth="1"/>
    <col min="2051" max="2051" width="0.85546875" customWidth="1"/>
    <col min="2052" max="2052" width="16.5703125" bestFit="1" customWidth="1"/>
    <col min="2053" max="2053" width="13.42578125" bestFit="1" customWidth="1"/>
    <col min="2300" max="2300" width="4.85546875" bestFit="1" customWidth="1"/>
    <col min="2301" max="2301" width="5.85546875" bestFit="1" customWidth="1"/>
    <col min="2302" max="2302" width="7.42578125" bestFit="1" customWidth="1"/>
    <col min="2303" max="2303" width="8.140625" bestFit="1" customWidth="1"/>
    <col min="2304" max="2304" width="4.5703125" bestFit="1" customWidth="1"/>
    <col min="2305" max="2305" width="57.5703125" customWidth="1"/>
    <col min="2306" max="2306" width="14.28515625" customWidth="1"/>
    <col min="2307" max="2307" width="0.85546875" customWidth="1"/>
    <col min="2308" max="2308" width="16.5703125" bestFit="1" customWidth="1"/>
    <col min="2309" max="2309" width="13.42578125" bestFit="1" customWidth="1"/>
    <col min="2556" max="2556" width="4.85546875" bestFit="1" customWidth="1"/>
    <col min="2557" max="2557" width="5.85546875" bestFit="1" customWidth="1"/>
    <col min="2558" max="2558" width="7.42578125" bestFit="1" customWidth="1"/>
    <col min="2559" max="2559" width="8.140625" bestFit="1" customWidth="1"/>
    <col min="2560" max="2560" width="4.5703125" bestFit="1" customWidth="1"/>
    <col min="2561" max="2561" width="57.5703125" customWidth="1"/>
    <col min="2562" max="2562" width="14.28515625" customWidth="1"/>
    <col min="2563" max="2563" width="0.85546875" customWidth="1"/>
    <col min="2564" max="2564" width="16.5703125" bestFit="1" customWidth="1"/>
    <col min="2565" max="2565" width="13.42578125" bestFit="1" customWidth="1"/>
    <col min="2812" max="2812" width="4.85546875" bestFit="1" customWidth="1"/>
    <col min="2813" max="2813" width="5.85546875" bestFit="1" customWidth="1"/>
    <col min="2814" max="2814" width="7.42578125" bestFit="1" customWidth="1"/>
    <col min="2815" max="2815" width="8.140625" bestFit="1" customWidth="1"/>
    <col min="2816" max="2816" width="4.5703125" bestFit="1" customWidth="1"/>
    <col min="2817" max="2817" width="57.5703125" customWidth="1"/>
    <col min="2818" max="2818" width="14.28515625" customWidth="1"/>
    <col min="2819" max="2819" width="0.85546875" customWidth="1"/>
    <col min="2820" max="2820" width="16.5703125" bestFit="1" customWidth="1"/>
    <col min="2821" max="2821" width="13.42578125" bestFit="1" customWidth="1"/>
    <col min="3068" max="3068" width="4.85546875" bestFit="1" customWidth="1"/>
    <col min="3069" max="3069" width="5.85546875" bestFit="1" customWidth="1"/>
    <col min="3070" max="3070" width="7.42578125" bestFit="1" customWidth="1"/>
    <col min="3071" max="3071" width="8.140625" bestFit="1" customWidth="1"/>
    <col min="3072" max="3072" width="4.5703125" bestFit="1" customWidth="1"/>
    <col min="3073" max="3073" width="57.5703125" customWidth="1"/>
    <col min="3074" max="3074" width="14.28515625" customWidth="1"/>
    <col min="3075" max="3075" width="0.85546875" customWidth="1"/>
    <col min="3076" max="3076" width="16.5703125" bestFit="1" customWidth="1"/>
    <col min="3077" max="3077" width="13.42578125" bestFit="1" customWidth="1"/>
    <col min="3324" max="3324" width="4.85546875" bestFit="1" customWidth="1"/>
    <col min="3325" max="3325" width="5.85546875" bestFit="1" customWidth="1"/>
    <col min="3326" max="3326" width="7.42578125" bestFit="1" customWidth="1"/>
    <col min="3327" max="3327" width="8.140625" bestFit="1" customWidth="1"/>
    <col min="3328" max="3328" width="4.5703125" bestFit="1" customWidth="1"/>
    <col min="3329" max="3329" width="57.5703125" customWidth="1"/>
    <col min="3330" max="3330" width="14.28515625" customWidth="1"/>
    <col min="3331" max="3331" width="0.85546875" customWidth="1"/>
    <col min="3332" max="3332" width="16.5703125" bestFit="1" customWidth="1"/>
    <col min="3333" max="3333" width="13.42578125" bestFit="1" customWidth="1"/>
    <col min="3580" max="3580" width="4.85546875" bestFit="1" customWidth="1"/>
    <col min="3581" max="3581" width="5.85546875" bestFit="1" customWidth="1"/>
    <col min="3582" max="3582" width="7.42578125" bestFit="1" customWidth="1"/>
    <col min="3583" max="3583" width="8.140625" bestFit="1" customWidth="1"/>
    <col min="3584" max="3584" width="4.5703125" bestFit="1" customWidth="1"/>
    <col min="3585" max="3585" width="57.5703125" customWidth="1"/>
    <col min="3586" max="3586" width="14.28515625" customWidth="1"/>
    <col min="3587" max="3587" width="0.85546875" customWidth="1"/>
    <col min="3588" max="3588" width="16.5703125" bestFit="1" customWidth="1"/>
    <col min="3589" max="3589" width="13.42578125" bestFit="1" customWidth="1"/>
    <col min="3836" max="3836" width="4.85546875" bestFit="1" customWidth="1"/>
    <col min="3837" max="3837" width="5.85546875" bestFit="1" customWidth="1"/>
    <col min="3838" max="3838" width="7.42578125" bestFit="1" customWidth="1"/>
    <col min="3839" max="3839" width="8.140625" bestFit="1" customWidth="1"/>
    <col min="3840" max="3840" width="4.5703125" bestFit="1" customWidth="1"/>
    <col min="3841" max="3841" width="57.5703125" customWidth="1"/>
    <col min="3842" max="3842" width="14.28515625" customWidth="1"/>
    <col min="3843" max="3843" width="0.85546875" customWidth="1"/>
    <col min="3844" max="3844" width="16.5703125" bestFit="1" customWidth="1"/>
    <col min="3845" max="3845" width="13.42578125" bestFit="1" customWidth="1"/>
    <col min="4092" max="4092" width="4.85546875" bestFit="1" customWidth="1"/>
    <col min="4093" max="4093" width="5.85546875" bestFit="1" customWidth="1"/>
    <col min="4094" max="4094" width="7.42578125" bestFit="1" customWidth="1"/>
    <col min="4095" max="4095" width="8.140625" bestFit="1" customWidth="1"/>
    <col min="4096" max="4096" width="4.5703125" bestFit="1" customWidth="1"/>
    <col min="4097" max="4097" width="57.5703125" customWidth="1"/>
    <col min="4098" max="4098" width="14.28515625" customWidth="1"/>
    <col min="4099" max="4099" width="0.85546875" customWidth="1"/>
    <col min="4100" max="4100" width="16.5703125" bestFit="1" customWidth="1"/>
    <col min="4101" max="4101" width="13.42578125" bestFit="1" customWidth="1"/>
    <col min="4348" max="4348" width="4.85546875" bestFit="1" customWidth="1"/>
    <col min="4349" max="4349" width="5.85546875" bestFit="1" customWidth="1"/>
    <col min="4350" max="4350" width="7.42578125" bestFit="1" customWidth="1"/>
    <col min="4351" max="4351" width="8.140625" bestFit="1" customWidth="1"/>
    <col min="4352" max="4352" width="4.5703125" bestFit="1" customWidth="1"/>
    <col min="4353" max="4353" width="57.5703125" customWidth="1"/>
    <col min="4354" max="4354" width="14.28515625" customWidth="1"/>
    <col min="4355" max="4355" width="0.85546875" customWidth="1"/>
    <col min="4356" max="4356" width="16.5703125" bestFit="1" customWidth="1"/>
    <col min="4357" max="4357" width="13.42578125" bestFit="1" customWidth="1"/>
    <col min="4604" max="4604" width="4.85546875" bestFit="1" customWidth="1"/>
    <col min="4605" max="4605" width="5.85546875" bestFit="1" customWidth="1"/>
    <col min="4606" max="4606" width="7.42578125" bestFit="1" customWidth="1"/>
    <col min="4607" max="4607" width="8.140625" bestFit="1" customWidth="1"/>
    <col min="4608" max="4608" width="4.5703125" bestFit="1" customWidth="1"/>
    <col min="4609" max="4609" width="57.5703125" customWidth="1"/>
    <col min="4610" max="4610" width="14.28515625" customWidth="1"/>
    <col min="4611" max="4611" width="0.85546875" customWidth="1"/>
    <col min="4612" max="4612" width="16.5703125" bestFit="1" customWidth="1"/>
    <col min="4613" max="4613" width="13.42578125" bestFit="1" customWidth="1"/>
    <col min="4860" max="4860" width="4.85546875" bestFit="1" customWidth="1"/>
    <col min="4861" max="4861" width="5.85546875" bestFit="1" customWidth="1"/>
    <col min="4862" max="4862" width="7.42578125" bestFit="1" customWidth="1"/>
    <col min="4863" max="4863" width="8.140625" bestFit="1" customWidth="1"/>
    <col min="4864" max="4864" width="4.5703125" bestFit="1" customWidth="1"/>
    <col min="4865" max="4865" width="57.5703125" customWidth="1"/>
    <col min="4866" max="4866" width="14.28515625" customWidth="1"/>
    <col min="4867" max="4867" width="0.85546875" customWidth="1"/>
    <col min="4868" max="4868" width="16.5703125" bestFit="1" customWidth="1"/>
    <col min="4869" max="4869" width="13.42578125" bestFit="1" customWidth="1"/>
    <col min="5116" max="5116" width="4.85546875" bestFit="1" customWidth="1"/>
    <col min="5117" max="5117" width="5.85546875" bestFit="1" customWidth="1"/>
    <col min="5118" max="5118" width="7.42578125" bestFit="1" customWidth="1"/>
    <col min="5119" max="5119" width="8.140625" bestFit="1" customWidth="1"/>
    <col min="5120" max="5120" width="4.5703125" bestFit="1" customWidth="1"/>
    <col min="5121" max="5121" width="57.5703125" customWidth="1"/>
    <col min="5122" max="5122" width="14.28515625" customWidth="1"/>
    <col min="5123" max="5123" width="0.85546875" customWidth="1"/>
    <col min="5124" max="5124" width="16.5703125" bestFit="1" customWidth="1"/>
    <col min="5125" max="5125" width="13.42578125" bestFit="1" customWidth="1"/>
    <col min="5372" max="5372" width="4.85546875" bestFit="1" customWidth="1"/>
    <col min="5373" max="5373" width="5.85546875" bestFit="1" customWidth="1"/>
    <col min="5374" max="5374" width="7.42578125" bestFit="1" customWidth="1"/>
    <col min="5375" max="5375" width="8.140625" bestFit="1" customWidth="1"/>
    <col min="5376" max="5376" width="4.5703125" bestFit="1" customWidth="1"/>
    <col min="5377" max="5377" width="57.5703125" customWidth="1"/>
    <col min="5378" max="5378" width="14.28515625" customWidth="1"/>
    <col min="5379" max="5379" width="0.85546875" customWidth="1"/>
    <col min="5380" max="5380" width="16.5703125" bestFit="1" customWidth="1"/>
    <col min="5381" max="5381" width="13.42578125" bestFit="1" customWidth="1"/>
    <col min="5628" max="5628" width="4.85546875" bestFit="1" customWidth="1"/>
    <col min="5629" max="5629" width="5.85546875" bestFit="1" customWidth="1"/>
    <col min="5630" max="5630" width="7.42578125" bestFit="1" customWidth="1"/>
    <col min="5631" max="5631" width="8.140625" bestFit="1" customWidth="1"/>
    <col min="5632" max="5632" width="4.5703125" bestFit="1" customWidth="1"/>
    <col min="5633" max="5633" width="57.5703125" customWidth="1"/>
    <col min="5634" max="5634" width="14.28515625" customWidth="1"/>
    <col min="5635" max="5635" width="0.85546875" customWidth="1"/>
    <col min="5636" max="5636" width="16.5703125" bestFit="1" customWidth="1"/>
    <col min="5637" max="5637" width="13.42578125" bestFit="1" customWidth="1"/>
    <col min="5884" max="5884" width="4.85546875" bestFit="1" customWidth="1"/>
    <col min="5885" max="5885" width="5.85546875" bestFit="1" customWidth="1"/>
    <col min="5886" max="5886" width="7.42578125" bestFit="1" customWidth="1"/>
    <col min="5887" max="5887" width="8.140625" bestFit="1" customWidth="1"/>
    <col min="5888" max="5888" width="4.5703125" bestFit="1" customWidth="1"/>
    <col min="5889" max="5889" width="57.5703125" customWidth="1"/>
    <col min="5890" max="5890" width="14.28515625" customWidth="1"/>
    <col min="5891" max="5891" width="0.85546875" customWidth="1"/>
    <col min="5892" max="5892" width="16.5703125" bestFit="1" customWidth="1"/>
    <col min="5893" max="5893" width="13.42578125" bestFit="1" customWidth="1"/>
    <col min="6140" max="6140" width="4.85546875" bestFit="1" customWidth="1"/>
    <col min="6141" max="6141" width="5.85546875" bestFit="1" customWidth="1"/>
    <col min="6142" max="6142" width="7.42578125" bestFit="1" customWidth="1"/>
    <col min="6143" max="6143" width="8.140625" bestFit="1" customWidth="1"/>
    <col min="6144" max="6144" width="4.5703125" bestFit="1" customWidth="1"/>
    <col min="6145" max="6145" width="57.5703125" customWidth="1"/>
    <col min="6146" max="6146" width="14.28515625" customWidth="1"/>
    <col min="6147" max="6147" width="0.85546875" customWidth="1"/>
    <col min="6148" max="6148" width="16.5703125" bestFit="1" customWidth="1"/>
    <col min="6149" max="6149" width="13.42578125" bestFit="1" customWidth="1"/>
    <col min="6396" max="6396" width="4.85546875" bestFit="1" customWidth="1"/>
    <col min="6397" max="6397" width="5.85546875" bestFit="1" customWidth="1"/>
    <col min="6398" max="6398" width="7.42578125" bestFit="1" customWidth="1"/>
    <col min="6399" max="6399" width="8.140625" bestFit="1" customWidth="1"/>
    <col min="6400" max="6400" width="4.5703125" bestFit="1" customWidth="1"/>
    <col min="6401" max="6401" width="57.5703125" customWidth="1"/>
    <col min="6402" max="6402" width="14.28515625" customWidth="1"/>
    <col min="6403" max="6403" width="0.85546875" customWidth="1"/>
    <col min="6404" max="6404" width="16.5703125" bestFit="1" customWidth="1"/>
    <col min="6405" max="6405" width="13.42578125" bestFit="1" customWidth="1"/>
    <col min="6652" max="6652" width="4.85546875" bestFit="1" customWidth="1"/>
    <col min="6653" max="6653" width="5.85546875" bestFit="1" customWidth="1"/>
    <col min="6654" max="6654" width="7.42578125" bestFit="1" customWidth="1"/>
    <col min="6655" max="6655" width="8.140625" bestFit="1" customWidth="1"/>
    <col min="6656" max="6656" width="4.5703125" bestFit="1" customWidth="1"/>
    <col min="6657" max="6657" width="57.5703125" customWidth="1"/>
    <col min="6658" max="6658" width="14.28515625" customWidth="1"/>
    <col min="6659" max="6659" width="0.85546875" customWidth="1"/>
    <col min="6660" max="6660" width="16.5703125" bestFit="1" customWidth="1"/>
    <col min="6661" max="6661" width="13.42578125" bestFit="1" customWidth="1"/>
    <col min="6908" max="6908" width="4.85546875" bestFit="1" customWidth="1"/>
    <col min="6909" max="6909" width="5.85546875" bestFit="1" customWidth="1"/>
    <col min="6910" max="6910" width="7.42578125" bestFit="1" customWidth="1"/>
    <col min="6911" max="6911" width="8.140625" bestFit="1" customWidth="1"/>
    <col min="6912" max="6912" width="4.5703125" bestFit="1" customWidth="1"/>
    <col min="6913" max="6913" width="57.5703125" customWidth="1"/>
    <col min="6914" max="6914" width="14.28515625" customWidth="1"/>
    <col min="6915" max="6915" width="0.85546875" customWidth="1"/>
    <col min="6916" max="6916" width="16.5703125" bestFit="1" customWidth="1"/>
    <col min="6917" max="6917" width="13.42578125" bestFit="1" customWidth="1"/>
    <col min="7164" max="7164" width="4.85546875" bestFit="1" customWidth="1"/>
    <col min="7165" max="7165" width="5.85546875" bestFit="1" customWidth="1"/>
    <col min="7166" max="7166" width="7.42578125" bestFit="1" customWidth="1"/>
    <col min="7167" max="7167" width="8.140625" bestFit="1" customWidth="1"/>
    <col min="7168" max="7168" width="4.5703125" bestFit="1" customWidth="1"/>
    <col min="7169" max="7169" width="57.5703125" customWidth="1"/>
    <col min="7170" max="7170" width="14.28515625" customWidth="1"/>
    <col min="7171" max="7171" width="0.85546875" customWidth="1"/>
    <col min="7172" max="7172" width="16.5703125" bestFit="1" customWidth="1"/>
    <col min="7173" max="7173" width="13.42578125" bestFit="1" customWidth="1"/>
    <col min="7420" max="7420" width="4.85546875" bestFit="1" customWidth="1"/>
    <col min="7421" max="7421" width="5.85546875" bestFit="1" customWidth="1"/>
    <col min="7422" max="7422" width="7.42578125" bestFit="1" customWidth="1"/>
    <col min="7423" max="7423" width="8.140625" bestFit="1" customWidth="1"/>
    <col min="7424" max="7424" width="4.5703125" bestFit="1" customWidth="1"/>
    <col min="7425" max="7425" width="57.5703125" customWidth="1"/>
    <col min="7426" max="7426" width="14.28515625" customWidth="1"/>
    <col min="7427" max="7427" width="0.85546875" customWidth="1"/>
    <col min="7428" max="7428" width="16.5703125" bestFit="1" customWidth="1"/>
    <col min="7429" max="7429" width="13.42578125" bestFit="1" customWidth="1"/>
    <col min="7676" max="7676" width="4.85546875" bestFit="1" customWidth="1"/>
    <col min="7677" max="7677" width="5.85546875" bestFit="1" customWidth="1"/>
    <col min="7678" max="7678" width="7.42578125" bestFit="1" customWidth="1"/>
    <col min="7679" max="7679" width="8.140625" bestFit="1" customWidth="1"/>
    <col min="7680" max="7680" width="4.5703125" bestFit="1" customWidth="1"/>
    <col min="7681" max="7681" width="57.5703125" customWidth="1"/>
    <col min="7682" max="7682" width="14.28515625" customWidth="1"/>
    <col min="7683" max="7683" width="0.85546875" customWidth="1"/>
    <col min="7684" max="7684" width="16.5703125" bestFit="1" customWidth="1"/>
    <col min="7685" max="7685" width="13.42578125" bestFit="1" customWidth="1"/>
    <col min="7932" max="7932" width="4.85546875" bestFit="1" customWidth="1"/>
    <col min="7933" max="7933" width="5.85546875" bestFit="1" customWidth="1"/>
    <col min="7934" max="7934" width="7.42578125" bestFit="1" customWidth="1"/>
    <col min="7935" max="7935" width="8.140625" bestFit="1" customWidth="1"/>
    <col min="7936" max="7936" width="4.5703125" bestFit="1" customWidth="1"/>
    <col min="7937" max="7937" width="57.5703125" customWidth="1"/>
    <col min="7938" max="7938" width="14.28515625" customWidth="1"/>
    <col min="7939" max="7939" width="0.85546875" customWidth="1"/>
    <col min="7940" max="7940" width="16.5703125" bestFit="1" customWidth="1"/>
    <col min="7941" max="7941" width="13.42578125" bestFit="1" customWidth="1"/>
    <col min="8188" max="8188" width="4.85546875" bestFit="1" customWidth="1"/>
    <col min="8189" max="8189" width="5.85546875" bestFit="1" customWidth="1"/>
    <col min="8190" max="8190" width="7.42578125" bestFit="1" customWidth="1"/>
    <col min="8191" max="8191" width="8.140625" bestFit="1" customWidth="1"/>
    <col min="8192" max="8192" width="4.5703125" bestFit="1" customWidth="1"/>
    <col min="8193" max="8193" width="57.5703125" customWidth="1"/>
    <col min="8194" max="8194" width="14.28515625" customWidth="1"/>
    <col min="8195" max="8195" width="0.85546875" customWidth="1"/>
    <col min="8196" max="8196" width="16.5703125" bestFit="1" customWidth="1"/>
    <col min="8197" max="8197" width="13.42578125" bestFit="1" customWidth="1"/>
    <col min="8444" max="8444" width="4.85546875" bestFit="1" customWidth="1"/>
    <col min="8445" max="8445" width="5.85546875" bestFit="1" customWidth="1"/>
    <col min="8446" max="8446" width="7.42578125" bestFit="1" customWidth="1"/>
    <col min="8447" max="8447" width="8.140625" bestFit="1" customWidth="1"/>
    <col min="8448" max="8448" width="4.5703125" bestFit="1" customWidth="1"/>
    <col min="8449" max="8449" width="57.5703125" customWidth="1"/>
    <col min="8450" max="8450" width="14.28515625" customWidth="1"/>
    <col min="8451" max="8451" width="0.85546875" customWidth="1"/>
    <col min="8452" max="8452" width="16.5703125" bestFit="1" customWidth="1"/>
    <col min="8453" max="8453" width="13.42578125" bestFit="1" customWidth="1"/>
    <col min="8700" max="8700" width="4.85546875" bestFit="1" customWidth="1"/>
    <col min="8701" max="8701" width="5.85546875" bestFit="1" customWidth="1"/>
    <col min="8702" max="8702" width="7.42578125" bestFit="1" customWidth="1"/>
    <col min="8703" max="8703" width="8.140625" bestFit="1" customWidth="1"/>
    <col min="8704" max="8704" width="4.5703125" bestFit="1" customWidth="1"/>
    <col min="8705" max="8705" width="57.5703125" customWidth="1"/>
    <col min="8706" max="8706" width="14.28515625" customWidth="1"/>
    <col min="8707" max="8707" width="0.85546875" customWidth="1"/>
    <col min="8708" max="8708" width="16.5703125" bestFit="1" customWidth="1"/>
    <col min="8709" max="8709" width="13.42578125" bestFit="1" customWidth="1"/>
    <col min="8956" max="8956" width="4.85546875" bestFit="1" customWidth="1"/>
    <col min="8957" max="8957" width="5.85546875" bestFit="1" customWidth="1"/>
    <col min="8958" max="8958" width="7.42578125" bestFit="1" customWidth="1"/>
    <col min="8959" max="8959" width="8.140625" bestFit="1" customWidth="1"/>
    <col min="8960" max="8960" width="4.5703125" bestFit="1" customWidth="1"/>
    <col min="8961" max="8961" width="57.5703125" customWidth="1"/>
    <col min="8962" max="8962" width="14.28515625" customWidth="1"/>
    <col min="8963" max="8963" width="0.85546875" customWidth="1"/>
    <col min="8964" max="8964" width="16.5703125" bestFit="1" customWidth="1"/>
    <col min="8965" max="8965" width="13.42578125" bestFit="1" customWidth="1"/>
    <col min="9212" max="9212" width="4.85546875" bestFit="1" customWidth="1"/>
    <col min="9213" max="9213" width="5.85546875" bestFit="1" customWidth="1"/>
    <col min="9214" max="9214" width="7.42578125" bestFit="1" customWidth="1"/>
    <col min="9215" max="9215" width="8.140625" bestFit="1" customWidth="1"/>
    <col min="9216" max="9216" width="4.5703125" bestFit="1" customWidth="1"/>
    <col min="9217" max="9217" width="57.5703125" customWidth="1"/>
    <col min="9218" max="9218" width="14.28515625" customWidth="1"/>
    <col min="9219" max="9219" width="0.85546875" customWidth="1"/>
    <col min="9220" max="9220" width="16.5703125" bestFit="1" customWidth="1"/>
    <col min="9221" max="9221" width="13.42578125" bestFit="1" customWidth="1"/>
    <col min="9468" max="9468" width="4.85546875" bestFit="1" customWidth="1"/>
    <col min="9469" max="9469" width="5.85546875" bestFit="1" customWidth="1"/>
    <col min="9470" max="9470" width="7.42578125" bestFit="1" customWidth="1"/>
    <col min="9471" max="9471" width="8.140625" bestFit="1" customWidth="1"/>
    <col min="9472" max="9472" width="4.5703125" bestFit="1" customWidth="1"/>
    <col min="9473" max="9473" width="57.5703125" customWidth="1"/>
    <col min="9474" max="9474" width="14.28515625" customWidth="1"/>
    <col min="9475" max="9475" width="0.85546875" customWidth="1"/>
    <col min="9476" max="9476" width="16.5703125" bestFit="1" customWidth="1"/>
    <col min="9477" max="9477" width="13.42578125" bestFit="1" customWidth="1"/>
    <col min="9724" max="9724" width="4.85546875" bestFit="1" customWidth="1"/>
    <col min="9725" max="9725" width="5.85546875" bestFit="1" customWidth="1"/>
    <col min="9726" max="9726" width="7.42578125" bestFit="1" customWidth="1"/>
    <col min="9727" max="9727" width="8.140625" bestFit="1" customWidth="1"/>
    <col min="9728" max="9728" width="4.5703125" bestFit="1" customWidth="1"/>
    <col min="9729" max="9729" width="57.5703125" customWidth="1"/>
    <col min="9730" max="9730" width="14.28515625" customWidth="1"/>
    <col min="9731" max="9731" width="0.85546875" customWidth="1"/>
    <col min="9732" max="9732" width="16.5703125" bestFit="1" customWidth="1"/>
    <col min="9733" max="9733" width="13.42578125" bestFit="1" customWidth="1"/>
    <col min="9980" max="9980" width="4.85546875" bestFit="1" customWidth="1"/>
    <col min="9981" max="9981" width="5.85546875" bestFit="1" customWidth="1"/>
    <col min="9982" max="9982" width="7.42578125" bestFit="1" customWidth="1"/>
    <col min="9983" max="9983" width="8.140625" bestFit="1" customWidth="1"/>
    <col min="9984" max="9984" width="4.5703125" bestFit="1" customWidth="1"/>
    <col min="9985" max="9985" width="57.5703125" customWidth="1"/>
    <col min="9986" max="9986" width="14.28515625" customWidth="1"/>
    <col min="9987" max="9987" width="0.85546875" customWidth="1"/>
    <col min="9988" max="9988" width="16.5703125" bestFit="1" customWidth="1"/>
    <col min="9989" max="9989" width="13.42578125" bestFit="1" customWidth="1"/>
    <col min="10236" max="10236" width="4.85546875" bestFit="1" customWidth="1"/>
    <col min="10237" max="10237" width="5.85546875" bestFit="1" customWidth="1"/>
    <col min="10238" max="10238" width="7.42578125" bestFit="1" customWidth="1"/>
    <col min="10239" max="10239" width="8.140625" bestFit="1" customWidth="1"/>
    <col min="10240" max="10240" width="4.5703125" bestFit="1" customWidth="1"/>
    <col min="10241" max="10241" width="57.5703125" customWidth="1"/>
    <col min="10242" max="10242" width="14.28515625" customWidth="1"/>
    <col min="10243" max="10243" width="0.85546875" customWidth="1"/>
    <col min="10244" max="10244" width="16.5703125" bestFit="1" customWidth="1"/>
    <col min="10245" max="10245" width="13.42578125" bestFit="1" customWidth="1"/>
    <col min="10492" max="10492" width="4.85546875" bestFit="1" customWidth="1"/>
    <col min="10493" max="10493" width="5.85546875" bestFit="1" customWidth="1"/>
    <col min="10494" max="10494" width="7.42578125" bestFit="1" customWidth="1"/>
    <col min="10495" max="10495" width="8.140625" bestFit="1" customWidth="1"/>
    <col min="10496" max="10496" width="4.5703125" bestFit="1" customWidth="1"/>
    <col min="10497" max="10497" width="57.5703125" customWidth="1"/>
    <col min="10498" max="10498" width="14.28515625" customWidth="1"/>
    <col min="10499" max="10499" width="0.85546875" customWidth="1"/>
    <col min="10500" max="10500" width="16.5703125" bestFit="1" customWidth="1"/>
    <col min="10501" max="10501" width="13.42578125" bestFit="1" customWidth="1"/>
    <col min="10748" max="10748" width="4.85546875" bestFit="1" customWidth="1"/>
    <col min="10749" max="10749" width="5.85546875" bestFit="1" customWidth="1"/>
    <col min="10750" max="10750" width="7.42578125" bestFit="1" customWidth="1"/>
    <col min="10751" max="10751" width="8.140625" bestFit="1" customWidth="1"/>
    <col min="10752" max="10752" width="4.5703125" bestFit="1" customWidth="1"/>
    <col min="10753" max="10753" width="57.5703125" customWidth="1"/>
    <col min="10754" max="10754" width="14.28515625" customWidth="1"/>
    <col min="10755" max="10755" width="0.85546875" customWidth="1"/>
    <col min="10756" max="10756" width="16.5703125" bestFit="1" customWidth="1"/>
    <col min="10757" max="10757" width="13.42578125" bestFit="1" customWidth="1"/>
    <col min="11004" max="11004" width="4.85546875" bestFit="1" customWidth="1"/>
    <col min="11005" max="11005" width="5.85546875" bestFit="1" customWidth="1"/>
    <col min="11006" max="11006" width="7.42578125" bestFit="1" customWidth="1"/>
    <col min="11007" max="11007" width="8.140625" bestFit="1" customWidth="1"/>
    <col min="11008" max="11008" width="4.5703125" bestFit="1" customWidth="1"/>
    <col min="11009" max="11009" width="57.5703125" customWidth="1"/>
    <col min="11010" max="11010" width="14.28515625" customWidth="1"/>
    <col min="11011" max="11011" width="0.85546875" customWidth="1"/>
    <col min="11012" max="11012" width="16.5703125" bestFit="1" customWidth="1"/>
    <col min="11013" max="11013" width="13.42578125" bestFit="1" customWidth="1"/>
    <col min="11260" max="11260" width="4.85546875" bestFit="1" customWidth="1"/>
    <col min="11261" max="11261" width="5.85546875" bestFit="1" customWidth="1"/>
    <col min="11262" max="11262" width="7.42578125" bestFit="1" customWidth="1"/>
    <col min="11263" max="11263" width="8.140625" bestFit="1" customWidth="1"/>
    <col min="11264" max="11264" width="4.5703125" bestFit="1" customWidth="1"/>
    <col min="11265" max="11265" width="57.5703125" customWidth="1"/>
    <col min="11266" max="11266" width="14.28515625" customWidth="1"/>
    <col min="11267" max="11267" width="0.85546875" customWidth="1"/>
    <col min="11268" max="11268" width="16.5703125" bestFit="1" customWidth="1"/>
    <col min="11269" max="11269" width="13.42578125" bestFit="1" customWidth="1"/>
    <col min="11516" max="11516" width="4.85546875" bestFit="1" customWidth="1"/>
    <col min="11517" max="11517" width="5.85546875" bestFit="1" customWidth="1"/>
    <col min="11518" max="11518" width="7.42578125" bestFit="1" customWidth="1"/>
    <col min="11519" max="11519" width="8.140625" bestFit="1" customWidth="1"/>
    <col min="11520" max="11520" width="4.5703125" bestFit="1" customWidth="1"/>
    <col min="11521" max="11521" width="57.5703125" customWidth="1"/>
    <col min="11522" max="11522" width="14.28515625" customWidth="1"/>
    <col min="11523" max="11523" width="0.85546875" customWidth="1"/>
    <col min="11524" max="11524" width="16.5703125" bestFit="1" customWidth="1"/>
    <col min="11525" max="11525" width="13.42578125" bestFit="1" customWidth="1"/>
    <col min="11772" max="11772" width="4.85546875" bestFit="1" customWidth="1"/>
    <col min="11773" max="11773" width="5.85546875" bestFit="1" customWidth="1"/>
    <col min="11774" max="11774" width="7.42578125" bestFit="1" customWidth="1"/>
    <col min="11775" max="11775" width="8.140625" bestFit="1" customWidth="1"/>
    <col min="11776" max="11776" width="4.5703125" bestFit="1" customWidth="1"/>
    <col min="11777" max="11777" width="57.5703125" customWidth="1"/>
    <col min="11778" max="11778" width="14.28515625" customWidth="1"/>
    <col min="11779" max="11779" width="0.85546875" customWidth="1"/>
    <col min="11780" max="11780" width="16.5703125" bestFit="1" customWidth="1"/>
    <col min="11781" max="11781" width="13.42578125" bestFit="1" customWidth="1"/>
    <col min="12028" max="12028" width="4.85546875" bestFit="1" customWidth="1"/>
    <col min="12029" max="12029" width="5.85546875" bestFit="1" customWidth="1"/>
    <col min="12030" max="12030" width="7.42578125" bestFit="1" customWidth="1"/>
    <col min="12031" max="12031" width="8.140625" bestFit="1" customWidth="1"/>
    <col min="12032" max="12032" width="4.5703125" bestFit="1" customWidth="1"/>
    <col min="12033" max="12033" width="57.5703125" customWidth="1"/>
    <col min="12034" max="12034" width="14.28515625" customWidth="1"/>
    <col min="12035" max="12035" width="0.85546875" customWidth="1"/>
    <col min="12036" max="12036" width="16.5703125" bestFit="1" customWidth="1"/>
    <col min="12037" max="12037" width="13.42578125" bestFit="1" customWidth="1"/>
    <col min="12284" max="12284" width="4.85546875" bestFit="1" customWidth="1"/>
    <col min="12285" max="12285" width="5.85546875" bestFit="1" customWidth="1"/>
    <col min="12286" max="12286" width="7.42578125" bestFit="1" customWidth="1"/>
    <col min="12287" max="12287" width="8.140625" bestFit="1" customWidth="1"/>
    <col min="12288" max="12288" width="4.5703125" bestFit="1" customWidth="1"/>
    <col min="12289" max="12289" width="57.5703125" customWidth="1"/>
    <col min="12290" max="12290" width="14.28515625" customWidth="1"/>
    <col min="12291" max="12291" width="0.85546875" customWidth="1"/>
    <col min="12292" max="12292" width="16.5703125" bestFit="1" customWidth="1"/>
    <col min="12293" max="12293" width="13.42578125" bestFit="1" customWidth="1"/>
    <col min="12540" max="12540" width="4.85546875" bestFit="1" customWidth="1"/>
    <col min="12541" max="12541" width="5.85546875" bestFit="1" customWidth="1"/>
    <col min="12542" max="12542" width="7.42578125" bestFit="1" customWidth="1"/>
    <col min="12543" max="12543" width="8.140625" bestFit="1" customWidth="1"/>
    <col min="12544" max="12544" width="4.5703125" bestFit="1" customWidth="1"/>
    <col min="12545" max="12545" width="57.5703125" customWidth="1"/>
    <col min="12546" max="12546" width="14.28515625" customWidth="1"/>
    <col min="12547" max="12547" width="0.85546875" customWidth="1"/>
    <col min="12548" max="12548" width="16.5703125" bestFit="1" customWidth="1"/>
    <col min="12549" max="12549" width="13.42578125" bestFit="1" customWidth="1"/>
    <col min="12796" max="12796" width="4.85546875" bestFit="1" customWidth="1"/>
    <col min="12797" max="12797" width="5.85546875" bestFit="1" customWidth="1"/>
    <col min="12798" max="12798" width="7.42578125" bestFit="1" customWidth="1"/>
    <col min="12799" max="12799" width="8.140625" bestFit="1" customWidth="1"/>
    <col min="12800" max="12800" width="4.5703125" bestFit="1" customWidth="1"/>
    <col min="12801" max="12801" width="57.5703125" customWidth="1"/>
    <col min="12802" max="12802" width="14.28515625" customWidth="1"/>
    <col min="12803" max="12803" width="0.85546875" customWidth="1"/>
    <col min="12804" max="12804" width="16.5703125" bestFit="1" customWidth="1"/>
    <col min="12805" max="12805" width="13.42578125" bestFit="1" customWidth="1"/>
    <col min="13052" max="13052" width="4.85546875" bestFit="1" customWidth="1"/>
    <col min="13053" max="13053" width="5.85546875" bestFit="1" customWidth="1"/>
    <col min="13054" max="13054" width="7.42578125" bestFit="1" customWidth="1"/>
    <col min="13055" max="13055" width="8.140625" bestFit="1" customWidth="1"/>
    <col min="13056" max="13056" width="4.5703125" bestFit="1" customWidth="1"/>
    <col min="13057" max="13057" width="57.5703125" customWidth="1"/>
    <col min="13058" max="13058" width="14.28515625" customWidth="1"/>
    <col min="13059" max="13059" width="0.85546875" customWidth="1"/>
    <col min="13060" max="13060" width="16.5703125" bestFit="1" customWidth="1"/>
    <col min="13061" max="13061" width="13.42578125" bestFit="1" customWidth="1"/>
    <col min="13308" max="13308" width="4.85546875" bestFit="1" customWidth="1"/>
    <col min="13309" max="13309" width="5.85546875" bestFit="1" customWidth="1"/>
    <col min="13310" max="13310" width="7.42578125" bestFit="1" customWidth="1"/>
    <col min="13311" max="13311" width="8.140625" bestFit="1" customWidth="1"/>
    <col min="13312" max="13312" width="4.5703125" bestFit="1" customWidth="1"/>
    <col min="13313" max="13313" width="57.5703125" customWidth="1"/>
    <col min="13314" max="13314" width="14.28515625" customWidth="1"/>
    <col min="13315" max="13315" width="0.85546875" customWidth="1"/>
    <col min="13316" max="13316" width="16.5703125" bestFit="1" customWidth="1"/>
    <col min="13317" max="13317" width="13.42578125" bestFit="1" customWidth="1"/>
    <col min="13564" max="13564" width="4.85546875" bestFit="1" customWidth="1"/>
    <col min="13565" max="13565" width="5.85546875" bestFit="1" customWidth="1"/>
    <col min="13566" max="13566" width="7.42578125" bestFit="1" customWidth="1"/>
    <col min="13567" max="13567" width="8.140625" bestFit="1" customWidth="1"/>
    <col min="13568" max="13568" width="4.5703125" bestFit="1" customWidth="1"/>
    <col min="13569" max="13569" width="57.5703125" customWidth="1"/>
    <col min="13570" max="13570" width="14.28515625" customWidth="1"/>
    <col min="13571" max="13571" width="0.85546875" customWidth="1"/>
    <col min="13572" max="13572" width="16.5703125" bestFit="1" customWidth="1"/>
    <col min="13573" max="13573" width="13.42578125" bestFit="1" customWidth="1"/>
    <col min="13820" max="13820" width="4.85546875" bestFit="1" customWidth="1"/>
    <col min="13821" max="13821" width="5.85546875" bestFit="1" customWidth="1"/>
    <col min="13822" max="13822" width="7.42578125" bestFit="1" customWidth="1"/>
    <col min="13823" max="13823" width="8.140625" bestFit="1" customWidth="1"/>
    <col min="13824" max="13824" width="4.5703125" bestFit="1" customWidth="1"/>
    <col min="13825" max="13825" width="57.5703125" customWidth="1"/>
    <col min="13826" max="13826" width="14.28515625" customWidth="1"/>
    <col min="13827" max="13827" width="0.85546875" customWidth="1"/>
    <col min="13828" max="13828" width="16.5703125" bestFit="1" customWidth="1"/>
    <col min="13829" max="13829" width="13.42578125" bestFit="1" customWidth="1"/>
    <col min="14076" max="14076" width="4.85546875" bestFit="1" customWidth="1"/>
    <col min="14077" max="14077" width="5.85546875" bestFit="1" customWidth="1"/>
    <col min="14078" max="14078" width="7.42578125" bestFit="1" customWidth="1"/>
    <col min="14079" max="14079" width="8.140625" bestFit="1" customWidth="1"/>
    <col min="14080" max="14080" width="4.5703125" bestFit="1" customWidth="1"/>
    <col min="14081" max="14081" width="57.5703125" customWidth="1"/>
    <col min="14082" max="14082" width="14.28515625" customWidth="1"/>
    <col min="14083" max="14083" width="0.85546875" customWidth="1"/>
    <col min="14084" max="14084" width="16.5703125" bestFit="1" customWidth="1"/>
    <col min="14085" max="14085" width="13.42578125" bestFit="1" customWidth="1"/>
    <col min="14332" max="14332" width="4.85546875" bestFit="1" customWidth="1"/>
    <col min="14333" max="14333" width="5.85546875" bestFit="1" customWidth="1"/>
    <col min="14334" max="14334" width="7.42578125" bestFit="1" customWidth="1"/>
    <col min="14335" max="14335" width="8.140625" bestFit="1" customWidth="1"/>
    <col min="14336" max="14336" width="4.5703125" bestFit="1" customWidth="1"/>
    <col min="14337" max="14337" width="57.5703125" customWidth="1"/>
    <col min="14338" max="14338" width="14.28515625" customWidth="1"/>
    <col min="14339" max="14339" width="0.85546875" customWidth="1"/>
    <col min="14340" max="14340" width="16.5703125" bestFit="1" customWidth="1"/>
    <col min="14341" max="14341" width="13.42578125" bestFit="1" customWidth="1"/>
    <col min="14588" max="14588" width="4.85546875" bestFit="1" customWidth="1"/>
    <col min="14589" max="14589" width="5.85546875" bestFit="1" customWidth="1"/>
    <col min="14590" max="14590" width="7.42578125" bestFit="1" customWidth="1"/>
    <col min="14591" max="14591" width="8.140625" bestFit="1" customWidth="1"/>
    <col min="14592" max="14592" width="4.5703125" bestFit="1" customWidth="1"/>
    <col min="14593" max="14593" width="57.5703125" customWidth="1"/>
    <col min="14594" max="14594" width="14.28515625" customWidth="1"/>
    <col min="14595" max="14595" width="0.85546875" customWidth="1"/>
    <col min="14596" max="14596" width="16.5703125" bestFit="1" customWidth="1"/>
    <col min="14597" max="14597" width="13.42578125" bestFit="1" customWidth="1"/>
    <col min="14844" max="14844" width="4.85546875" bestFit="1" customWidth="1"/>
    <col min="14845" max="14845" width="5.85546875" bestFit="1" customWidth="1"/>
    <col min="14846" max="14846" width="7.42578125" bestFit="1" customWidth="1"/>
    <col min="14847" max="14847" width="8.140625" bestFit="1" customWidth="1"/>
    <col min="14848" max="14848" width="4.5703125" bestFit="1" customWidth="1"/>
    <col min="14849" max="14849" width="57.5703125" customWidth="1"/>
    <col min="14850" max="14850" width="14.28515625" customWidth="1"/>
    <col min="14851" max="14851" width="0.85546875" customWidth="1"/>
    <col min="14852" max="14852" width="16.5703125" bestFit="1" customWidth="1"/>
    <col min="14853" max="14853" width="13.42578125" bestFit="1" customWidth="1"/>
    <col min="15100" max="15100" width="4.85546875" bestFit="1" customWidth="1"/>
    <col min="15101" max="15101" width="5.85546875" bestFit="1" customWidth="1"/>
    <col min="15102" max="15102" width="7.42578125" bestFit="1" customWidth="1"/>
    <col min="15103" max="15103" width="8.140625" bestFit="1" customWidth="1"/>
    <col min="15104" max="15104" width="4.5703125" bestFit="1" customWidth="1"/>
    <col min="15105" max="15105" width="57.5703125" customWidth="1"/>
    <col min="15106" max="15106" width="14.28515625" customWidth="1"/>
    <col min="15107" max="15107" width="0.85546875" customWidth="1"/>
    <col min="15108" max="15108" width="16.5703125" bestFit="1" customWidth="1"/>
    <col min="15109" max="15109" width="13.42578125" bestFit="1" customWidth="1"/>
    <col min="15356" max="15356" width="4.85546875" bestFit="1" customWidth="1"/>
    <col min="15357" max="15357" width="5.85546875" bestFit="1" customWidth="1"/>
    <col min="15358" max="15358" width="7.42578125" bestFit="1" customWidth="1"/>
    <col min="15359" max="15359" width="8.140625" bestFit="1" customWidth="1"/>
    <col min="15360" max="15360" width="4.5703125" bestFit="1" customWidth="1"/>
    <col min="15361" max="15361" width="57.5703125" customWidth="1"/>
    <col min="15362" max="15362" width="14.28515625" customWidth="1"/>
    <col min="15363" max="15363" width="0.85546875" customWidth="1"/>
    <col min="15364" max="15364" width="16.5703125" bestFit="1" customWidth="1"/>
    <col min="15365" max="15365" width="13.42578125" bestFit="1" customWidth="1"/>
    <col min="15612" max="15612" width="4.85546875" bestFit="1" customWidth="1"/>
    <col min="15613" max="15613" width="5.85546875" bestFit="1" customWidth="1"/>
    <col min="15614" max="15614" width="7.42578125" bestFit="1" customWidth="1"/>
    <col min="15615" max="15615" width="8.140625" bestFit="1" customWidth="1"/>
    <col min="15616" max="15616" width="4.5703125" bestFit="1" customWidth="1"/>
    <col min="15617" max="15617" width="57.5703125" customWidth="1"/>
    <col min="15618" max="15618" width="14.28515625" customWidth="1"/>
    <col min="15619" max="15619" width="0.85546875" customWidth="1"/>
    <col min="15620" max="15620" width="16.5703125" bestFit="1" customWidth="1"/>
    <col min="15621" max="15621" width="13.42578125" bestFit="1" customWidth="1"/>
    <col min="15868" max="15868" width="4.85546875" bestFit="1" customWidth="1"/>
    <col min="15869" max="15869" width="5.85546875" bestFit="1" customWidth="1"/>
    <col min="15870" max="15870" width="7.42578125" bestFit="1" customWidth="1"/>
    <col min="15871" max="15871" width="8.140625" bestFit="1" customWidth="1"/>
    <col min="15872" max="15872" width="4.5703125" bestFit="1" customWidth="1"/>
    <col min="15873" max="15873" width="57.5703125" customWidth="1"/>
    <col min="15874" max="15874" width="14.28515625" customWidth="1"/>
    <col min="15875" max="15875" width="0.85546875" customWidth="1"/>
    <col min="15876" max="15876" width="16.5703125" bestFit="1" customWidth="1"/>
    <col min="15877" max="15877" width="13.42578125" bestFit="1" customWidth="1"/>
    <col min="16124" max="16124" width="4.85546875" bestFit="1" customWidth="1"/>
    <col min="16125" max="16125" width="5.85546875" bestFit="1" customWidth="1"/>
    <col min="16126" max="16126" width="7.42578125" bestFit="1" customWidth="1"/>
    <col min="16127" max="16127" width="8.140625" bestFit="1" customWidth="1"/>
    <col min="16128" max="16128" width="4.5703125" bestFit="1" customWidth="1"/>
    <col min="16129" max="16129" width="57.5703125" customWidth="1"/>
    <col min="16130" max="16130" width="14.28515625" customWidth="1"/>
    <col min="16131" max="16131" width="0.85546875" customWidth="1"/>
    <col min="16132" max="16132" width="16.5703125" bestFit="1" customWidth="1"/>
    <col min="16133" max="16133" width="13.42578125" bestFit="1" customWidth="1"/>
  </cols>
  <sheetData>
    <row r="1" spans="1:24" x14ac:dyDescent="0.25">
      <c r="A1" s="77"/>
      <c r="B1" s="77"/>
      <c r="C1" s="77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7"/>
      <c r="V1" s="1"/>
    </row>
    <row r="2" spans="1:24" x14ac:dyDescent="0.25">
      <c r="A2" s="77"/>
      <c r="B2" s="77"/>
      <c r="C2" s="77"/>
      <c r="D2" s="77"/>
      <c r="E2" s="77"/>
      <c r="F2" s="77"/>
      <c r="G2" s="77"/>
      <c r="H2" s="77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7"/>
      <c r="V2" s="1"/>
    </row>
    <row r="3" spans="1:24" x14ac:dyDescent="0.25">
      <c r="A3" s="77"/>
      <c r="B3" s="77"/>
      <c r="C3" s="77"/>
      <c r="D3" s="77"/>
      <c r="E3" s="77"/>
      <c r="F3" s="77"/>
      <c r="G3" s="77"/>
      <c r="H3" s="77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7"/>
      <c r="V3" s="1"/>
    </row>
    <row r="4" spans="1:24" x14ac:dyDescent="0.25">
      <c r="A4" s="77"/>
      <c r="B4" s="77"/>
      <c r="C4" s="77"/>
      <c r="D4" s="77"/>
      <c r="E4" s="77"/>
      <c r="F4" s="77"/>
      <c r="G4" s="77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7"/>
      <c r="V4" s="1"/>
    </row>
    <row r="5" spans="1:24" ht="20.25" x14ac:dyDescent="0.3">
      <c r="A5" s="210" t="str">
        <f>'[1]Estado de flujo de Efectivo'!A1:B1</f>
        <v>Consejo Económico y Social -CES-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1"/>
    </row>
    <row r="6" spans="1:24" ht="20.25" x14ac:dyDescent="0.3">
      <c r="A6" s="210" t="s">
        <v>0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1"/>
    </row>
    <row r="7" spans="1:24" ht="20.25" x14ac:dyDescent="0.3">
      <c r="A7" s="210" t="s">
        <v>1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1"/>
    </row>
    <row r="8" spans="1:24" ht="18.75" customHeight="1" thickBot="1" x14ac:dyDescent="0.3">
      <c r="A8" s="79"/>
      <c r="B8" s="79"/>
      <c r="C8" s="79"/>
      <c r="D8" s="79"/>
      <c r="E8" s="80"/>
      <c r="F8" s="81"/>
      <c r="G8" s="82"/>
      <c r="H8" s="82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2"/>
      <c r="V8" s="1"/>
    </row>
    <row r="9" spans="1:24" ht="0.75" customHeight="1" thickBot="1" x14ac:dyDescent="0.3">
      <c r="A9" s="211" t="s">
        <v>2</v>
      </c>
      <c r="B9" s="212"/>
      <c r="C9" s="212"/>
      <c r="D9" s="212"/>
      <c r="E9" s="213"/>
      <c r="F9" s="84"/>
      <c r="G9" s="85" t="s">
        <v>3</v>
      </c>
      <c r="H9" s="85"/>
      <c r="I9" s="86" t="s">
        <v>3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8" t="s">
        <v>3</v>
      </c>
      <c r="V9" s="1"/>
    </row>
    <row r="10" spans="1:24" ht="49.5" customHeight="1" thickBot="1" x14ac:dyDescent="0.3">
      <c r="A10" s="89"/>
      <c r="B10" s="89"/>
      <c r="C10" s="90"/>
      <c r="D10" s="90"/>
      <c r="E10" s="91"/>
      <c r="F10" s="92"/>
      <c r="G10" s="93" t="s">
        <v>4</v>
      </c>
      <c r="H10" s="93" t="s">
        <v>5</v>
      </c>
      <c r="I10" s="94" t="s">
        <v>6</v>
      </c>
      <c r="J10" s="94" t="s">
        <v>7</v>
      </c>
      <c r="K10" s="94" t="s">
        <v>8</v>
      </c>
      <c r="L10" s="94" t="s">
        <v>9</v>
      </c>
      <c r="M10" s="94" t="s">
        <v>10</v>
      </c>
      <c r="N10" s="94" t="s">
        <v>11</v>
      </c>
      <c r="O10" s="94" t="s">
        <v>12</v>
      </c>
      <c r="P10" s="94" t="s">
        <v>13</v>
      </c>
      <c r="Q10" s="94" t="s">
        <v>14</v>
      </c>
      <c r="R10" s="94" t="s">
        <v>15</v>
      </c>
      <c r="S10" s="94" t="s">
        <v>16</v>
      </c>
      <c r="T10" s="94" t="s">
        <v>17</v>
      </c>
      <c r="U10" s="95" t="s">
        <v>18</v>
      </c>
      <c r="V10" s="3" t="s">
        <v>19</v>
      </c>
    </row>
    <row r="11" spans="1:24" ht="32.25" thickBot="1" x14ac:dyDescent="0.3">
      <c r="A11" s="96" t="s">
        <v>20</v>
      </c>
      <c r="B11" s="93" t="s">
        <v>21</v>
      </c>
      <c r="C11" s="97" t="s">
        <v>22</v>
      </c>
      <c r="D11" s="93" t="s">
        <v>23</v>
      </c>
      <c r="E11" s="93" t="s">
        <v>24</v>
      </c>
      <c r="F11" s="89" t="s">
        <v>25</v>
      </c>
      <c r="G11" s="98" t="s">
        <v>26</v>
      </c>
      <c r="H11" s="98" t="s">
        <v>26</v>
      </c>
      <c r="I11" s="99" t="s">
        <v>26</v>
      </c>
      <c r="J11" s="99" t="s">
        <v>26</v>
      </c>
      <c r="K11" s="99" t="s">
        <v>26</v>
      </c>
      <c r="L11" s="99" t="s">
        <v>26</v>
      </c>
      <c r="M11" s="99" t="s">
        <v>26</v>
      </c>
      <c r="N11" s="99" t="s">
        <v>26</v>
      </c>
      <c r="O11" s="99" t="s">
        <v>26</v>
      </c>
      <c r="P11" s="99" t="s">
        <v>26</v>
      </c>
      <c r="Q11" s="99" t="s">
        <v>26</v>
      </c>
      <c r="R11" s="99" t="s">
        <v>26</v>
      </c>
      <c r="S11" s="99" t="s">
        <v>26</v>
      </c>
      <c r="T11" s="99" t="s">
        <v>26</v>
      </c>
      <c r="U11" s="99" t="s">
        <v>26</v>
      </c>
      <c r="V11" s="4" t="s">
        <v>26</v>
      </c>
    </row>
    <row r="12" spans="1:24" ht="15.75" x14ac:dyDescent="0.25">
      <c r="A12" s="100"/>
      <c r="B12" s="101"/>
      <c r="C12" s="102"/>
      <c r="D12" s="103"/>
      <c r="E12" s="104"/>
      <c r="F12" s="105"/>
      <c r="G12" s="106"/>
      <c r="H12" s="106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5"/>
    </row>
    <row r="13" spans="1:24" ht="32.25" thickBot="1" x14ac:dyDescent="0.3">
      <c r="A13" s="101">
        <v>2</v>
      </c>
      <c r="B13" s="101">
        <v>1</v>
      </c>
      <c r="C13" s="108"/>
      <c r="D13" s="101"/>
      <c r="E13" s="109"/>
      <c r="F13" s="110" t="s">
        <v>27</v>
      </c>
      <c r="G13" s="111">
        <f>G14+G32+G39+G44</f>
        <v>17970117</v>
      </c>
      <c r="H13" s="111">
        <f>H14+H32+H39+H44</f>
        <v>5231733</v>
      </c>
      <c r="I13" s="111">
        <f>I14+I32+I39+I44</f>
        <v>894193.64</v>
      </c>
      <c r="J13" s="111">
        <f t="shared" ref="J13:V13" si="0">J14+J32+J39+J44</f>
        <v>898702.92</v>
      </c>
      <c r="K13" s="111">
        <f t="shared" si="0"/>
        <v>901091.05</v>
      </c>
      <c r="L13" s="111">
        <f t="shared" si="0"/>
        <v>903115.4</v>
      </c>
      <c r="M13" s="111">
        <f t="shared" si="0"/>
        <v>916032.07000000007</v>
      </c>
      <c r="N13" s="111">
        <f t="shared" si="0"/>
        <v>845989.23</v>
      </c>
      <c r="O13" s="111">
        <f t="shared" si="0"/>
        <v>903115.4</v>
      </c>
      <c r="P13" s="111">
        <f t="shared" si="0"/>
        <v>925015.38</v>
      </c>
      <c r="Q13" s="111">
        <f>Q14+Q32+Q39+Q44</f>
        <v>974606.07000000007</v>
      </c>
      <c r="R13" s="111">
        <f>R14+R32+R39+R44</f>
        <v>2303993.17</v>
      </c>
      <c r="S13" s="111">
        <f>S14+S32+S39+S44</f>
        <v>1342678.62</v>
      </c>
      <c r="T13" s="111">
        <f>T14+T32+T39+T44</f>
        <v>4738747.54</v>
      </c>
      <c r="U13" s="111">
        <f>U14+U32+U39+U44</f>
        <v>16547280.49</v>
      </c>
      <c r="V13" s="6">
        <f t="shared" si="0"/>
        <v>1527932.6900000004</v>
      </c>
      <c r="W13" s="7"/>
    </row>
    <row r="14" spans="1:24" ht="16.5" thickBot="1" x14ac:dyDescent="0.3">
      <c r="A14" s="101">
        <v>2</v>
      </c>
      <c r="B14" s="101">
        <v>1</v>
      </c>
      <c r="C14" s="108">
        <v>1</v>
      </c>
      <c r="D14" s="101"/>
      <c r="E14" s="109"/>
      <c r="F14" s="110" t="s">
        <v>28</v>
      </c>
      <c r="G14" s="112">
        <f>G15+G18+G23+G26</f>
        <v>15000360</v>
      </c>
      <c r="H14" s="112">
        <f>H15+H18+H23+H26</f>
        <v>4693908</v>
      </c>
      <c r="I14" s="112">
        <f>I15+I18+I23+I26</f>
        <v>777812.64</v>
      </c>
      <c r="J14" s="112">
        <f t="shared" ref="J14:V14" si="1">J15+J18+J23+J26</f>
        <v>788111</v>
      </c>
      <c r="K14" s="112">
        <f t="shared" si="1"/>
        <v>787111</v>
      </c>
      <c r="L14" s="112">
        <f t="shared" si="1"/>
        <v>787111</v>
      </c>
      <c r="M14" s="112">
        <f t="shared" si="1"/>
        <v>800027.67</v>
      </c>
      <c r="N14" s="112">
        <f t="shared" si="1"/>
        <v>800011</v>
      </c>
      <c r="O14" s="112">
        <f t="shared" si="1"/>
        <v>787111</v>
      </c>
      <c r="P14" s="112">
        <f t="shared" si="1"/>
        <v>809011</v>
      </c>
      <c r="Q14" s="112">
        <f t="shared" si="1"/>
        <v>860130.67</v>
      </c>
      <c r="R14" s="112">
        <f>R15+R18+R23+R26</f>
        <v>2032344.51</v>
      </c>
      <c r="S14" s="112">
        <f>S15+S18+S23+S26</f>
        <v>1174830</v>
      </c>
      <c r="T14" s="112">
        <f>T15+T18+T23+T26</f>
        <v>3125852.2800000003</v>
      </c>
      <c r="U14" s="112">
        <f>U15+U18+U23+U26</f>
        <v>13529463.77</v>
      </c>
      <c r="V14" s="9">
        <f t="shared" si="1"/>
        <v>1575992.4100000006</v>
      </c>
      <c r="W14" s="7"/>
    </row>
    <row r="15" spans="1:24" ht="32.25" thickBot="1" x14ac:dyDescent="0.3">
      <c r="A15" s="101">
        <v>2</v>
      </c>
      <c r="B15" s="101">
        <v>1</v>
      </c>
      <c r="C15" s="108">
        <v>1</v>
      </c>
      <c r="D15" s="101">
        <v>1</v>
      </c>
      <c r="E15" s="109"/>
      <c r="F15" s="110" t="s">
        <v>29</v>
      </c>
      <c r="G15" s="113">
        <f>G16</f>
        <v>6215000</v>
      </c>
      <c r="H15" s="113">
        <f>H16</f>
        <v>2393604</v>
      </c>
      <c r="I15" s="114">
        <f>I16</f>
        <v>225000</v>
      </c>
      <c r="J15" s="113">
        <f t="shared" ref="J15:V15" si="2">J16</f>
        <v>225000</v>
      </c>
      <c r="K15" s="113">
        <f t="shared" si="2"/>
        <v>225000</v>
      </c>
      <c r="L15" s="113">
        <f t="shared" si="2"/>
        <v>225000</v>
      </c>
      <c r="M15" s="113">
        <f t="shared" si="2"/>
        <v>225000</v>
      </c>
      <c r="N15" s="113">
        <f t="shared" si="2"/>
        <v>225000</v>
      </c>
      <c r="O15" s="113">
        <f t="shared" si="2"/>
        <v>225000</v>
      </c>
      <c r="P15" s="113">
        <f t="shared" si="2"/>
        <v>225000</v>
      </c>
      <c r="Q15" s="115">
        <f t="shared" si="2"/>
        <v>225000</v>
      </c>
      <c r="R15" s="113">
        <f t="shared" si="2"/>
        <v>450000</v>
      </c>
      <c r="S15" s="113">
        <f t="shared" si="2"/>
        <v>300000</v>
      </c>
      <c r="T15" s="113">
        <f t="shared" si="2"/>
        <v>706451.62</v>
      </c>
      <c r="U15" s="114">
        <f>U16</f>
        <v>3481451.62</v>
      </c>
      <c r="V15" s="10">
        <f t="shared" si="2"/>
        <v>2733548.38</v>
      </c>
      <c r="X15" s="7"/>
    </row>
    <row r="16" spans="1:24" ht="15.75" x14ac:dyDescent="0.25">
      <c r="A16" s="101">
        <v>2</v>
      </c>
      <c r="B16" s="101">
        <v>1</v>
      </c>
      <c r="C16" s="108">
        <v>1</v>
      </c>
      <c r="D16" s="101">
        <v>1</v>
      </c>
      <c r="E16" s="101">
        <v>1</v>
      </c>
      <c r="F16" s="116" t="s">
        <v>30</v>
      </c>
      <c r="G16" s="117">
        <v>6215000</v>
      </c>
      <c r="H16" s="117">
        <f>1600000+793604</f>
        <v>2393604</v>
      </c>
      <c r="I16" s="118">
        <v>225000</v>
      </c>
      <c r="J16" s="118">
        <v>225000</v>
      </c>
      <c r="K16" s="118">
        <v>225000</v>
      </c>
      <c r="L16" s="118">
        <v>225000</v>
      </c>
      <c r="M16" s="118">
        <v>225000</v>
      </c>
      <c r="N16" s="118">
        <v>225000</v>
      </c>
      <c r="O16" s="118">
        <v>225000</v>
      </c>
      <c r="P16" s="118">
        <v>225000</v>
      </c>
      <c r="Q16" s="118">
        <v>225000</v>
      </c>
      <c r="R16" s="118">
        <v>450000</v>
      </c>
      <c r="S16" s="118">
        <v>300000</v>
      </c>
      <c r="T16" s="118">
        <f>503225.81+203225.81</f>
        <v>706451.62</v>
      </c>
      <c r="U16" s="118">
        <f>+I16+J16+K16+L16+M16+N16+O16+P16+Q16+R16+S16+T16</f>
        <v>3481451.62</v>
      </c>
      <c r="V16" s="11">
        <f>+G16-U16</f>
        <v>2733548.38</v>
      </c>
      <c r="W16" s="7"/>
    </row>
    <row r="17" spans="1:24" ht="15.75" x14ac:dyDescent="0.25">
      <c r="A17" s="101"/>
      <c r="B17" s="101"/>
      <c r="C17" s="108"/>
      <c r="D17" s="101"/>
      <c r="E17" s="100"/>
      <c r="F17" s="116"/>
      <c r="G17" s="119"/>
      <c r="H17" s="119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"/>
      <c r="W17" s="7"/>
    </row>
    <row r="18" spans="1:24" ht="48" thickBot="1" x14ac:dyDescent="0.3">
      <c r="A18" s="101">
        <v>2</v>
      </c>
      <c r="B18" s="101">
        <v>1</v>
      </c>
      <c r="C18" s="108">
        <v>1</v>
      </c>
      <c r="D18" s="101">
        <v>2</v>
      </c>
      <c r="E18" s="109"/>
      <c r="F18" s="121" t="s">
        <v>31</v>
      </c>
      <c r="G18" s="111">
        <f>G19</f>
        <v>7705332</v>
      </c>
      <c r="H18" s="111">
        <f>H19</f>
        <v>2300304</v>
      </c>
      <c r="I18" s="122">
        <f t="shared" ref="I18:U18" si="3">SUM(I19:I21)</f>
        <v>552812.64</v>
      </c>
      <c r="J18" s="122">
        <f t="shared" si="3"/>
        <v>563111</v>
      </c>
      <c r="K18" s="122">
        <f t="shared" si="3"/>
        <v>562111</v>
      </c>
      <c r="L18" s="122">
        <f t="shared" si="3"/>
        <v>562111</v>
      </c>
      <c r="M18" s="122">
        <f t="shared" si="3"/>
        <v>552111</v>
      </c>
      <c r="N18" s="122">
        <f t="shared" si="3"/>
        <v>562111</v>
      </c>
      <c r="O18" s="122">
        <f t="shared" si="3"/>
        <v>562111</v>
      </c>
      <c r="P18" s="122">
        <f t="shared" si="3"/>
        <v>562111</v>
      </c>
      <c r="Q18" s="122">
        <f t="shared" si="3"/>
        <v>532111</v>
      </c>
      <c r="R18" s="122">
        <f t="shared" si="3"/>
        <v>1580268</v>
      </c>
      <c r="S18" s="122">
        <f t="shared" si="3"/>
        <v>874830</v>
      </c>
      <c r="T18" s="122">
        <f t="shared" si="3"/>
        <v>1551790.1</v>
      </c>
      <c r="U18" s="122">
        <f t="shared" si="3"/>
        <v>9017588.7400000002</v>
      </c>
      <c r="V18" s="13">
        <f t="shared" ref="V18" si="4">SUM(V19:V21)</f>
        <v>-1312256.7399999995</v>
      </c>
      <c r="X18" s="14"/>
    </row>
    <row r="19" spans="1:24" ht="47.25" x14ac:dyDescent="0.25">
      <c r="A19" s="101">
        <v>2</v>
      </c>
      <c r="B19" s="101">
        <v>1</v>
      </c>
      <c r="C19" s="108">
        <v>1</v>
      </c>
      <c r="D19" s="101">
        <v>2</v>
      </c>
      <c r="E19" s="101">
        <v>1</v>
      </c>
      <c r="F19" s="123" t="s">
        <v>32</v>
      </c>
      <c r="G19" s="124">
        <v>7705332</v>
      </c>
      <c r="H19" s="125">
        <v>2300304</v>
      </c>
      <c r="I19" s="120">
        <f>25800+36000+40000+31200+43800+54125+59250+43800+73568+73568+55000</f>
        <v>536111</v>
      </c>
      <c r="J19" s="120">
        <f>25800+36000+40000+31200+43800+54125+59250+43800+73568+73568+55000+27000</f>
        <v>563111</v>
      </c>
      <c r="K19" s="126">
        <f t="shared" ref="K19:P19" si="5">26000+36000+40000+31200+43800+25800+54125+59250+43800+73568+73568+55000</f>
        <v>562111</v>
      </c>
      <c r="L19" s="126">
        <f t="shared" si="5"/>
        <v>562111</v>
      </c>
      <c r="M19" s="126">
        <f>26000+36000+40000+31200+43800+15800+54125+59250+43800+73568+73568+55000</f>
        <v>552111</v>
      </c>
      <c r="N19" s="126">
        <f t="shared" si="5"/>
        <v>562111</v>
      </c>
      <c r="O19" s="126">
        <f t="shared" si="5"/>
        <v>562111</v>
      </c>
      <c r="P19" s="126">
        <f t="shared" si="5"/>
        <v>562111</v>
      </c>
      <c r="Q19" s="120">
        <f>26000+36000+31200+43800+25800+54125+59250+43800+73568+73568+55000+10000</f>
        <v>532111</v>
      </c>
      <c r="R19" s="127">
        <v>1580268</v>
      </c>
      <c r="S19" s="128">
        <f>85065+110065+122117+73500+93500+80500+48920+73500+60885+75378+51400</f>
        <v>874830</v>
      </c>
      <c r="T19" s="128">
        <f>142689.68+184625.16+204841.42+123290.32+156838.71+135032.26+82059.35+123290.32+102129.68+126440.52+86219.35</f>
        <v>1467456.77</v>
      </c>
      <c r="U19" s="120">
        <f>+I19+J201+K19+L19+M19+N19+J19+O19+P19+Q19+R19+S19+T19</f>
        <v>8916553.7699999996</v>
      </c>
      <c r="V19" s="12">
        <f>+G19-U19</f>
        <v>-1211221.7699999996</v>
      </c>
      <c r="W19" s="7"/>
    </row>
    <row r="20" spans="1:24" ht="31.5" x14ac:dyDescent="0.25">
      <c r="A20" s="101">
        <v>2</v>
      </c>
      <c r="B20" s="101">
        <v>1</v>
      </c>
      <c r="C20" s="108">
        <v>1</v>
      </c>
      <c r="D20" s="101">
        <v>2</v>
      </c>
      <c r="E20" s="101">
        <v>2</v>
      </c>
      <c r="F20" s="123" t="s">
        <v>33</v>
      </c>
      <c r="G20" s="119"/>
      <c r="H20" s="119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>
        <f>+I20+J20+K20+L20+M20+N20+O20+P20+Q20</f>
        <v>0</v>
      </c>
      <c r="V20" s="12"/>
    </row>
    <row r="21" spans="1:24" ht="31.5" x14ac:dyDescent="0.25">
      <c r="A21" s="101">
        <v>2</v>
      </c>
      <c r="B21" s="101">
        <v>1</v>
      </c>
      <c r="C21" s="108">
        <v>1</v>
      </c>
      <c r="D21" s="101">
        <v>2</v>
      </c>
      <c r="E21" s="101">
        <v>5</v>
      </c>
      <c r="F21" s="123" t="s">
        <v>34</v>
      </c>
      <c r="G21" s="125"/>
      <c r="H21" s="125"/>
      <c r="I21" s="128">
        <f>16701.64</f>
        <v>16701.64</v>
      </c>
      <c r="J21" s="128">
        <v>0</v>
      </c>
      <c r="K21" s="128"/>
      <c r="L21" s="128"/>
      <c r="M21" s="128"/>
      <c r="N21" s="128"/>
      <c r="O21" s="128"/>
      <c r="P21" s="126"/>
      <c r="Q21" s="120"/>
      <c r="R21" s="126"/>
      <c r="S21" s="126"/>
      <c r="T21" s="126">
        <v>84333.33</v>
      </c>
      <c r="U21" s="120">
        <f>+I21+J21+K21+L21+M21+N21+O21+P21+Q21+R21+S21+T21</f>
        <v>101034.97</v>
      </c>
      <c r="V21" s="16">
        <f>+G21-U21</f>
        <v>-101034.97</v>
      </c>
    </row>
    <row r="22" spans="1:24" ht="15.75" x14ac:dyDescent="0.25">
      <c r="A22" s="101"/>
      <c r="B22" s="101"/>
      <c r="C22" s="108"/>
      <c r="D22" s="101"/>
      <c r="E22" s="101"/>
      <c r="F22" s="123"/>
      <c r="G22" s="125"/>
      <c r="H22" s="125"/>
      <c r="I22" s="128" t="s">
        <v>35</v>
      </c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>
        <f>+J22</f>
        <v>0</v>
      </c>
      <c r="V22" s="16"/>
      <c r="W22" s="7"/>
      <c r="X22" s="7"/>
    </row>
    <row r="23" spans="1:24" ht="16.5" thickBot="1" x14ac:dyDescent="0.3">
      <c r="A23" s="101">
        <v>2</v>
      </c>
      <c r="B23" s="101">
        <v>1</v>
      </c>
      <c r="C23" s="108">
        <v>1</v>
      </c>
      <c r="D23" s="101">
        <v>4</v>
      </c>
      <c r="E23" s="109"/>
      <c r="F23" s="121" t="s">
        <v>36</v>
      </c>
      <c r="G23" s="111">
        <f t="shared" ref="G23:V23" si="6">G24</f>
        <v>1080028</v>
      </c>
      <c r="H23" s="111">
        <f t="shared" si="6"/>
        <v>0</v>
      </c>
      <c r="I23" s="112">
        <f t="shared" si="6"/>
        <v>0</v>
      </c>
      <c r="J23" s="112">
        <f t="shared" si="6"/>
        <v>0</v>
      </c>
      <c r="K23" s="112">
        <f t="shared" si="6"/>
        <v>0</v>
      </c>
      <c r="L23" s="112">
        <f t="shared" si="6"/>
        <v>0</v>
      </c>
      <c r="M23" s="112">
        <f t="shared" si="6"/>
        <v>22916.67</v>
      </c>
      <c r="N23" s="112">
        <f t="shared" si="6"/>
        <v>12900</v>
      </c>
      <c r="O23" s="112">
        <f t="shared" si="6"/>
        <v>0</v>
      </c>
      <c r="P23" s="112">
        <f t="shared" si="6"/>
        <v>21900</v>
      </c>
      <c r="Q23" s="112">
        <f t="shared" si="6"/>
        <v>0</v>
      </c>
      <c r="R23" s="112">
        <f>R24</f>
        <v>0</v>
      </c>
      <c r="S23" s="112">
        <f>S24</f>
        <v>0</v>
      </c>
      <c r="T23" s="112">
        <f>T24</f>
        <v>867610.55999999982</v>
      </c>
      <c r="U23" s="112">
        <f t="shared" si="6"/>
        <v>925327.22999999986</v>
      </c>
      <c r="V23" s="9">
        <f t="shared" si="6"/>
        <v>154700.77000000014</v>
      </c>
      <c r="W23" s="7"/>
      <c r="X23" s="14"/>
    </row>
    <row r="24" spans="1:24" ht="15.75" x14ac:dyDescent="0.25">
      <c r="A24" s="101">
        <v>2</v>
      </c>
      <c r="B24" s="101">
        <v>1</v>
      </c>
      <c r="C24" s="108">
        <v>1</v>
      </c>
      <c r="D24" s="101">
        <v>4</v>
      </c>
      <c r="E24" s="101">
        <v>1</v>
      </c>
      <c r="F24" s="123" t="s">
        <v>37</v>
      </c>
      <c r="G24" s="124">
        <v>1080028</v>
      </c>
      <c r="H24" s="124"/>
      <c r="I24" s="127">
        <v>0</v>
      </c>
      <c r="J24" s="127"/>
      <c r="K24" s="127"/>
      <c r="L24" s="127"/>
      <c r="M24" s="127">
        <v>22916.67</v>
      </c>
      <c r="N24" s="127">
        <v>12900</v>
      </c>
      <c r="O24" s="127"/>
      <c r="P24" s="127">
        <v>21900</v>
      </c>
      <c r="Q24" s="127"/>
      <c r="R24" s="127"/>
      <c r="S24" s="127"/>
      <c r="T24" s="127">
        <f>256250+44610.41+88775.08+93796.75+56175+73520.83+65114.58+22533.33+34275+43568.75+52407.5+36583.33</f>
        <v>867610.55999999982</v>
      </c>
      <c r="U24" s="127">
        <f>+I24+J24+K24+L24+M24+N24+O24+P24+Q24+R24+S24+T24</f>
        <v>925327.22999999986</v>
      </c>
      <c r="V24" s="17">
        <f>+G24-U24</f>
        <v>154700.77000000014</v>
      </c>
    </row>
    <row r="25" spans="1:24" ht="15.75" x14ac:dyDescent="0.25">
      <c r="A25" s="101"/>
      <c r="B25" s="101"/>
      <c r="C25" s="108"/>
      <c r="D25" s="101"/>
      <c r="E25" s="101"/>
      <c r="F25" s="123"/>
      <c r="G25" s="125"/>
      <c r="H25" s="125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>
        <f>+I25+J25+K25+L25+M25</f>
        <v>0</v>
      </c>
      <c r="V25" s="16"/>
    </row>
    <row r="26" spans="1:24" ht="32.25" thickBot="1" x14ac:dyDescent="0.3">
      <c r="A26" s="101">
        <v>2</v>
      </c>
      <c r="B26" s="101">
        <v>1</v>
      </c>
      <c r="C26" s="108">
        <v>1</v>
      </c>
      <c r="D26" s="101">
        <v>5</v>
      </c>
      <c r="E26" s="109"/>
      <c r="F26" s="121" t="s">
        <v>38</v>
      </c>
      <c r="G26" s="129">
        <f>G27+G30</f>
        <v>0</v>
      </c>
      <c r="H26" s="129">
        <f>H27+H30</f>
        <v>0</v>
      </c>
      <c r="I26" s="122">
        <f t="shared" ref="I26:V26" si="7">I27+I28+I29+I30</f>
        <v>0</v>
      </c>
      <c r="J26" s="122">
        <f t="shared" si="7"/>
        <v>0</v>
      </c>
      <c r="K26" s="122">
        <f t="shared" si="7"/>
        <v>0</v>
      </c>
      <c r="L26" s="122">
        <f t="shared" si="7"/>
        <v>0</v>
      </c>
      <c r="M26" s="122">
        <f t="shared" si="7"/>
        <v>0</v>
      </c>
      <c r="N26" s="122">
        <f t="shared" si="7"/>
        <v>0</v>
      </c>
      <c r="O26" s="122">
        <f t="shared" si="7"/>
        <v>0</v>
      </c>
      <c r="P26" s="122">
        <f t="shared" si="7"/>
        <v>0</v>
      </c>
      <c r="Q26" s="122">
        <f t="shared" si="7"/>
        <v>103019.67</v>
      </c>
      <c r="R26" s="122">
        <f t="shared" si="7"/>
        <v>2076.5100000000002</v>
      </c>
      <c r="S26" s="122">
        <f t="shared" si="7"/>
        <v>0</v>
      </c>
      <c r="T26" s="122">
        <f t="shared" si="7"/>
        <v>0</v>
      </c>
      <c r="U26" s="122">
        <f t="shared" si="7"/>
        <v>105096.18</v>
      </c>
      <c r="V26" s="13">
        <f t="shared" si="7"/>
        <v>0</v>
      </c>
    </row>
    <row r="27" spans="1:24" ht="31.5" x14ac:dyDescent="0.25">
      <c r="A27" s="101">
        <v>2</v>
      </c>
      <c r="B27" s="101">
        <v>1</v>
      </c>
      <c r="C27" s="108">
        <v>1</v>
      </c>
      <c r="D27" s="101">
        <v>5</v>
      </c>
      <c r="E27" s="101">
        <v>1</v>
      </c>
      <c r="F27" s="123" t="s">
        <v>38</v>
      </c>
      <c r="G27" s="125"/>
      <c r="H27" s="125"/>
      <c r="I27" s="128">
        <v>0</v>
      </c>
      <c r="J27" s="128"/>
      <c r="K27" s="128"/>
      <c r="L27" s="128"/>
      <c r="M27" s="128"/>
      <c r="N27" s="128"/>
      <c r="O27" s="128"/>
      <c r="P27" s="128"/>
      <c r="Q27" s="128">
        <v>103019.67</v>
      </c>
      <c r="R27" s="128">
        <v>2076.5100000000002</v>
      </c>
      <c r="S27" s="128"/>
      <c r="T27" s="128"/>
      <c r="U27" s="128">
        <f>+I27+J27+K27+L27+M27+N27+O27+P27+Q27+R27+S27+T27</f>
        <v>105096.18</v>
      </c>
      <c r="V27" s="16">
        <v>0</v>
      </c>
      <c r="W27" s="7"/>
      <c r="X27" s="14"/>
    </row>
    <row r="28" spans="1:24" ht="47.25" x14ac:dyDescent="0.25">
      <c r="A28" s="101">
        <v>2</v>
      </c>
      <c r="B28" s="101">
        <v>1</v>
      </c>
      <c r="C28" s="108">
        <v>1</v>
      </c>
      <c r="D28" s="101">
        <v>5</v>
      </c>
      <c r="E28" s="101">
        <v>2</v>
      </c>
      <c r="F28" s="123" t="s">
        <v>39</v>
      </c>
      <c r="G28" s="125"/>
      <c r="H28" s="125"/>
      <c r="I28" s="128">
        <v>0</v>
      </c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>
        <f>+I28+J28+K28+L28+M28+N28+O28+P28+Q28+R28+S28</f>
        <v>0</v>
      </c>
      <c r="V28" s="16">
        <v>0</v>
      </c>
    </row>
    <row r="29" spans="1:24" ht="31.5" x14ac:dyDescent="0.25">
      <c r="A29" s="101">
        <v>2</v>
      </c>
      <c r="B29" s="101">
        <v>1</v>
      </c>
      <c r="C29" s="108">
        <v>1</v>
      </c>
      <c r="D29" s="101">
        <v>5</v>
      </c>
      <c r="E29" s="101">
        <v>3</v>
      </c>
      <c r="F29" s="123" t="s">
        <v>40</v>
      </c>
      <c r="G29" s="125"/>
      <c r="H29" s="125"/>
      <c r="I29" s="128">
        <v>0</v>
      </c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>
        <f>+I29+J29+K29+L29+M29+N29+O29+P29+Q29+R29+S29</f>
        <v>0</v>
      </c>
      <c r="V29" s="16">
        <v>0</v>
      </c>
    </row>
    <row r="30" spans="1:24" ht="47.25" x14ac:dyDescent="0.25">
      <c r="A30" s="101">
        <v>2</v>
      </c>
      <c r="B30" s="101">
        <v>1</v>
      </c>
      <c r="C30" s="108">
        <v>1</v>
      </c>
      <c r="D30" s="101">
        <v>5</v>
      </c>
      <c r="E30" s="101">
        <v>4</v>
      </c>
      <c r="F30" s="123" t="s">
        <v>41</v>
      </c>
      <c r="G30" s="125"/>
      <c r="H30" s="125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>
        <f>+I30+J30+K30+L30+M30+N30+O30+P30+Q30+R30+S30</f>
        <v>0</v>
      </c>
      <c r="V30" s="16"/>
    </row>
    <row r="31" spans="1:24" ht="16.5" thickBot="1" x14ac:dyDescent="0.3">
      <c r="A31" s="101"/>
      <c r="B31" s="101"/>
      <c r="C31" s="108"/>
      <c r="D31" s="101"/>
      <c r="E31" s="101"/>
      <c r="F31" s="123"/>
      <c r="G31" s="125"/>
      <c r="H31" s="125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6"/>
    </row>
    <row r="32" spans="1:24" ht="16.5" thickBot="1" x14ac:dyDescent="0.3">
      <c r="A32" s="101">
        <v>2</v>
      </c>
      <c r="B32" s="101">
        <v>1</v>
      </c>
      <c r="C32" s="108">
        <v>2</v>
      </c>
      <c r="D32" s="101"/>
      <c r="E32" s="101"/>
      <c r="F32" s="121" t="s">
        <v>42</v>
      </c>
      <c r="G32" s="130">
        <f t="shared" ref="G32:V32" si="8">G33</f>
        <v>967000</v>
      </c>
      <c r="H32" s="130">
        <f t="shared" si="8"/>
        <v>537825</v>
      </c>
      <c r="I32" s="131">
        <f t="shared" si="8"/>
        <v>0</v>
      </c>
      <c r="J32" s="131">
        <f t="shared" si="8"/>
        <v>0</v>
      </c>
      <c r="K32" s="131">
        <f t="shared" si="8"/>
        <v>0</v>
      </c>
      <c r="L32" s="131">
        <f t="shared" si="8"/>
        <v>0</v>
      </c>
      <c r="M32" s="131">
        <f t="shared" si="8"/>
        <v>0</v>
      </c>
      <c r="N32" s="131">
        <f t="shared" si="8"/>
        <v>0</v>
      </c>
      <c r="O32" s="131">
        <f t="shared" si="8"/>
        <v>0</v>
      </c>
      <c r="P32" s="131">
        <f t="shared" si="8"/>
        <v>0</v>
      </c>
      <c r="Q32" s="131">
        <f t="shared" si="8"/>
        <v>0</v>
      </c>
      <c r="R32" s="131">
        <f t="shared" si="8"/>
        <v>0</v>
      </c>
      <c r="S32" s="131">
        <f t="shared" si="8"/>
        <v>0</v>
      </c>
      <c r="T32" s="131">
        <f>T33</f>
        <v>1314829.25</v>
      </c>
      <c r="U32" s="131">
        <f>U33</f>
        <v>1314829.25</v>
      </c>
      <c r="V32" s="18">
        <f t="shared" si="8"/>
        <v>-347829.25</v>
      </c>
    </row>
    <row r="33" spans="1:24" ht="16.5" thickBot="1" x14ac:dyDescent="0.3">
      <c r="A33" s="101">
        <v>2</v>
      </c>
      <c r="B33" s="101">
        <v>1</v>
      </c>
      <c r="C33" s="101">
        <v>2</v>
      </c>
      <c r="D33" s="101">
        <v>2</v>
      </c>
      <c r="E33" s="101"/>
      <c r="F33" s="121" t="s">
        <v>43</v>
      </c>
      <c r="G33" s="111">
        <f>G34+G35+G36</f>
        <v>967000</v>
      </c>
      <c r="H33" s="111">
        <f>H34+H35+H36</f>
        <v>537825</v>
      </c>
      <c r="I33" s="131">
        <f t="shared" ref="I33:V33" si="9">I36</f>
        <v>0</v>
      </c>
      <c r="J33" s="131">
        <f t="shared" si="9"/>
        <v>0</v>
      </c>
      <c r="K33" s="131">
        <f t="shared" si="9"/>
        <v>0</v>
      </c>
      <c r="L33" s="131">
        <f t="shared" si="9"/>
        <v>0</v>
      </c>
      <c r="M33" s="131">
        <f t="shared" si="9"/>
        <v>0</v>
      </c>
      <c r="N33" s="131">
        <f t="shared" si="9"/>
        <v>0</v>
      </c>
      <c r="O33" s="131">
        <f t="shared" si="9"/>
        <v>0</v>
      </c>
      <c r="P33" s="131">
        <f t="shared" si="9"/>
        <v>0</v>
      </c>
      <c r="Q33" s="131">
        <f t="shared" si="9"/>
        <v>0</v>
      </c>
      <c r="R33" s="131">
        <f t="shared" si="9"/>
        <v>0</v>
      </c>
      <c r="S33" s="131">
        <f t="shared" si="9"/>
        <v>0</v>
      </c>
      <c r="T33" s="131">
        <f t="shared" si="9"/>
        <v>1314829.25</v>
      </c>
      <c r="U33" s="131">
        <f>U36</f>
        <v>1314829.25</v>
      </c>
      <c r="V33" s="19">
        <f t="shared" si="9"/>
        <v>-347829.25</v>
      </c>
    </row>
    <row r="34" spans="1:24" ht="47.25" x14ac:dyDescent="0.25">
      <c r="A34" s="101">
        <v>2</v>
      </c>
      <c r="B34" s="101">
        <v>1</v>
      </c>
      <c r="C34" s="101">
        <v>2</v>
      </c>
      <c r="D34" s="101">
        <v>2</v>
      </c>
      <c r="E34" s="101">
        <v>2</v>
      </c>
      <c r="F34" s="121" t="s">
        <v>44</v>
      </c>
      <c r="G34" s="132"/>
      <c r="H34" s="132"/>
      <c r="I34" s="112">
        <v>0</v>
      </c>
      <c r="J34" s="112">
        <v>0</v>
      </c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>
        <f>+I34+J34+K34+L34+M34+N34+O34+P34+Q34+R34+S34</f>
        <v>0</v>
      </c>
      <c r="V34" s="9">
        <v>0</v>
      </c>
    </row>
    <row r="35" spans="1:24" ht="15.75" x14ac:dyDescent="0.25">
      <c r="A35" s="101">
        <v>2</v>
      </c>
      <c r="B35" s="101">
        <v>1</v>
      </c>
      <c r="C35" s="101">
        <v>2</v>
      </c>
      <c r="D35" s="101">
        <v>2</v>
      </c>
      <c r="E35" s="101">
        <v>4</v>
      </c>
      <c r="F35" s="123" t="s">
        <v>45</v>
      </c>
      <c r="G35" s="125">
        <v>0</v>
      </c>
      <c r="H35" s="125"/>
      <c r="I35" s="128">
        <v>0</v>
      </c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12">
        <f>+I35+J35+K35+L35+M35+N35+O35+P35+Q35+R35+S35</f>
        <v>0</v>
      </c>
      <c r="V35" s="16">
        <v>0</v>
      </c>
    </row>
    <row r="36" spans="1:24" ht="31.5" x14ac:dyDescent="0.25">
      <c r="A36" s="101">
        <v>2</v>
      </c>
      <c r="B36" s="101">
        <v>1</v>
      </c>
      <c r="C36" s="101">
        <v>2</v>
      </c>
      <c r="D36" s="101">
        <v>2</v>
      </c>
      <c r="E36" s="101">
        <v>15</v>
      </c>
      <c r="F36" s="123" t="s">
        <v>46</v>
      </c>
      <c r="G36" s="125">
        <v>967000</v>
      </c>
      <c r="H36" s="125">
        <v>537825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>
        <f>225000+84375+82548.75+91587.8+63798.75+55125+70125.36+60375+36690+55125+45663+56533.55+38550+20625+328707.04</f>
        <v>1314829.25</v>
      </c>
      <c r="U36" s="112">
        <f>+I36+J36+K36+L36+M36+N36+O36+P36+Q36+R36+S36+T36</f>
        <v>1314829.25</v>
      </c>
      <c r="V36" s="16">
        <f>+G36-U36</f>
        <v>-347829.25</v>
      </c>
      <c r="X36" s="7"/>
    </row>
    <row r="37" spans="1:24" ht="15.75" x14ac:dyDescent="0.25">
      <c r="A37" s="101"/>
      <c r="B37" s="101"/>
      <c r="C37" s="108"/>
      <c r="D37" s="101"/>
      <c r="E37" s="101"/>
      <c r="F37" s="123"/>
      <c r="G37" s="125"/>
      <c r="H37" s="125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12">
        <f>+I37+J37+K37+L37+M37+N37+O37+P37+Q37+R37+S37</f>
        <v>0</v>
      </c>
      <c r="V37" s="16"/>
    </row>
    <row r="38" spans="1:24" ht="15.75" x14ac:dyDescent="0.25">
      <c r="A38" s="101"/>
      <c r="B38" s="101"/>
      <c r="C38" s="108"/>
      <c r="D38" s="101"/>
      <c r="E38" s="101"/>
      <c r="F38" s="123"/>
      <c r="G38" s="125"/>
      <c r="H38" s="125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12">
        <f>+I38+J38+K38+L38+M38+N38+O38+P38+Q38+R38+S38</f>
        <v>0</v>
      </c>
      <c r="V38" s="16"/>
    </row>
    <row r="39" spans="1:24" ht="32.25" thickBot="1" x14ac:dyDescent="0.3">
      <c r="A39" s="101">
        <v>2</v>
      </c>
      <c r="B39" s="101">
        <v>1</v>
      </c>
      <c r="C39" s="108">
        <v>3</v>
      </c>
      <c r="D39" s="101"/>
      <c r="E39" s="101"/>
      <c r="F39" s="121" t="s">
        <v>47</v>
      </c>
      <c r="G39" s="125"/>
      <c r="H39" s="125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6"/>
    </row>
    <row r="40" spans="1:24" ht="16.5" thickBot="1" x14ac:dyDescent="0.3">
      <c r="A40" s="101">
        <v>2</v>
      </c>
      <c r="B40" s="101">
        <v>1</v>
      </c>
      <c r="C40" s="108">
        <v>3</v>
      </c>
      <c r="D40" s="101">
        <v>1</v>
      </c>
      <c r="E40" s="109"/>
      <c r="F40" s="121" t="s">
        <v>48</v>
      </c>
      <c r="G40" s="113">
        <f>G41+G42</f>
        <v>0</v>
      </c>
      <c r="H40" s="113"/>
      <c r="I40" s="114">
        <f>I41+I42</f>
        <v>0</v>
      </c>
      <c r="J40" s="114">
        <f>J41+J42</f>
        <v>0</v>
      </c>
      <c r="K40" s="114">
        <f t="shared" ref="K40:T40" si="10">K41+K42</f>
        <v>0</v>
      </c>
      <c r="L40" s="114">
        <f t="shared" si="10"/>
        <v>0</v>
      </c>
      <c r="M40" s="114">
        <f t="shared" si="10"/>
        <v>0</v>
      </c>
      <c r="N40" s="114">
        <f t="shared" si="10"/>
        <v>0</v>
      </c>
      <c r="O40" s="114">
        <f t="shared" si="10"/>
        <v>0</v>
      </c>
      <c r="P40" s="114">
        <f t="shared" si="10"/>
        <v>0</v>
      </c>
      <c r="Q40" s="114">
        <f t="shared" si="10"/>
        <v>0</v>
      </c>
      <c r="R40" s="114">
        <f t="shared" si="10"/>
        <v>0</v>
      </c>
      <c r="S40" s="114">
        <f t="shared" si="10"/>
        <v>0</v>
      </c>
      <c r="T40" s="114">
        <f t="shared" si="10"/>
        <v>0</v>
      </c>
      <c r="U40" s="114">
        <f>U41+U42</f>
        <v>0</v>
      </c>
      <c r="V40" s="20">
        <f>V41+V42</f>
        <v>0</v>
      </c>
    </row>
    <row r="41" spans="1:24" ht="15.75" x14ac:dyDescent="0.25">
      <c r="A41" s="101">
        <v>2</v>
      </c>
      <c r="B41" s="101">
        <v>1</v>
      </c>
      <c r="C41" s="108">
        <v>3</v>
      </c>
      <c r="D41" s="101">
        <v>1</v>
      </c>
      <c r="E41" s="101">
        <v>1</v>
      </c>
      <c r="F41" s="123" t="s">
        <v>49</v>
      </c>
      <c r="G41" s="124"/>
      <c r="H41" s="125"/>
      <c r="I41" s="128">
        <f>G41*12</f>
        <v>0</v>
      </c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>
        <f>+I41+J41+K41+L41+M41+N41+O41+P41+Q41+R41+S41</f>
        <v>0</v>
      </c>
      <c r="V41" s="16">
        <f>+G41-U41</f>
        <v>0</v>
      </c>
    </row>
    <row r="42" spans="1:24" ht="15.75" x14ac:dyDescent="0.25">
      <c r="A42" s="101">
        <v>2</v>
      </c>
      <c r="B42" s="101">
        <v>1</v>
      </c>
      <c r="C42" s="108">
        <v>3</v>
      </c>
      <c r="D42" s="101">
        <v>1</v>
      </c>
      <c r="E42" s="101">
        <v>2</v>
      </c>
      <c r="F42" s="123" t="s">
        <v>50</v>
      </c>
      <c r="G42" s="125"/>
      <c r="H42" s="125"/>
      <c r="I42" s="128">
        <f>G42*12</f>
        <v>0</v>
      </c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>
        <f>+I42+J42+K42+L42+M42+N42+O42+P42+Q42+R42+S42</f>
        <v>0</v>
      </c>
      <c r="V42" s="16">
        <f>+G42-U42</f>
        <v>0</v>
      </c>
    </row>
    <row r="43" spans="1:24" s="21" customFormat="1" ht="15.75" x14ac:dyDescent="0.25">
      <c r="A43" s="101"/>
      <c r="B43" s="101"/>
      <c r="C43" s="108"/>
      <c r="D43" s="101"/>
      <c r="E43" s="101"/>
      <c r="F43" s="123"/>
      <c r="G43" s="125"/>
      <c r="H43" s="125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>
        <f>+I43+J43+K43+L43+M43+N43+O43+P43+Q43+R43+S43</f>
        <v>0</v>
      </c>
      <c r="V43" s="16"/>
      <c r="X43" s="22"/>
    </row>
    <row r="44" spans="1:24" ht="48" thickBot="1" x14ac:dyDescent="0.3">
      <c r="A44" s="101">
        <v>2</v>
      </c>
      <c r="B44" s="133">
        <v>1</v>
      </c>
      <c r="C44" s="134">
        <v>5</v>
      </c>
      <c r="D44" s="109"/>
      <c r="E44" s="109"/>
      <c r="F44" s="121" t="s">
        <v>51</v>
      </c>
      <c r="G44" s="111">
        <f t="shared" ref="G44:U44" si="11">SUM(G45:G47)</f>
        <v>2002757</v>
      </c>
      <c r="H44" s="111">
        <f t="shared" si="11"/>
        <v>0</v>
      </c>
      <c r="I44" s="112">
        <f t="shared" si="11"/>
        <v>116381</v>
      </c>
      <c r="J44" s="112">
        <f t="shared" si="11"/>
        <v>110591.92</v>
      </c>
      <c r="K44" s="112">
        <f t="shared" si="11"/>
        <v>113980.05</v>
      </c>
      <c r="L44" s="112">
        <f t="shared" si="11"/>
        <v>116004.4</v>
      </c>
      <c r="M44" s="112">
        <f t="shared" si="11"/>
        <v>116004.4</v>
      </c>
      <c r="N44" s="112">
        <f t="shared" si="11"/>
        <v>45978.23</v>
      </c>
      <c r="O44" s="112">
        <f t="shared" si="11"/>
        <v>116004.4</v>
      </c>
      <c r="P44" s="112">
        <f t="shared" si="11"/>
        <v>116004.37999999999</v>
      </c>
      <c r="Q44" s="112">
        <f>SUM(Q45:Q47)</f>
        <v>114475.4</v>
      </c>
      <c r="R44" s="112">
        <f>SUM(R45:R47)</f>
        <v>271648.66000000003</v>
      </c>
      <c r="S44" s="112">
        <f>SUM(S45:S47)</f>
        <v>167848.62</v>
      </c>
      <c r="T44" s="112">
        <f>SUM(T45:T47)</f>
        <v>298066.01</v>
      </c>
      <c r="U44" s="112">
        <f t="shared" si="11"/>
        <v>1702987.4700000002</v>
      </c>
      <c r="V44" s="9">
        <f t="shared" ref="V44" si="12">SUM(V45:V47)</f>
        <v>299769.52999999974</v>
      </c>
      <c r="W44" s="7"/>
    </row>
    <row r="45" spans="1:24" ht="31.5" x14ac:dyDescent="0.25">
      <c r="A45" s="101">
        <v>2</v>
      </c>
      <c r="B45" s="101">
        <v>1</v>
      </c>
      <c r="C45" s="108">
        <v>5</v>
      </c>
      <c r="D45" s="101">
        <v>1</v>
      </c>
      <c r="E45" s="101"/>
      <c r="F45" s="116" t="s">
        <v>52</v>
      </c>
      <c r="G45" s="124">
        <v>915272</v>
      </c>
      <c r="H45" s="124"/>
      <c r="I45" s="127">
        <v>52497</v>
      </c>
      <c r="J45" s="127">
        <f>51454.68-3540.76</f>
        <v>47913.919999999998</v>
      </c>
      <c r="K45" s="127">
        <v>51383.78</v>
      </c>
      <c r="L45" s="127">
        <v>53113.39</v>
      </c>
      <c r="M45" s="127">
        <v>53113.39</v>
      </c>
      <c r="N45" s="127">
        <f>53113.39-70026.15</f>
        <v>-16912.759999999995</v>
      </c>
      <c r="O45" s="127">
        <v>53113.39</v>
      </c>
      <c r="P45" s="127">
        <v>53113.39</v>
      </c>
      <c r="Q45" s="127">
        <v>52404.39</v>
      </c>
      <c r="R45" s="127">
        <v>123018.1</v>
      </c>
      <c r="S45" s="127">
        <v>75285.179999999993</v>
      </c>
      <c r="T45" s="127">
        <v>135277.82</v>
      </c>
      <c r="U45" s="127">
        <f>+I45+J45+K45+L45+M45+N45+O45+P45+Q45+R45+S45+T45</f>
        <v>733320.99000000022</v>
      </c>
      <c r="V45" s="17">
        <f>+G45-U45</f>
        <v>181951.00999999978</v>
      </c>
      <c r="W45" s="15"/>
    </row>
    <row r="46" spans="1:24" ht="31.5" x14ac:dyDescent="0.25">
      <c r="A46" s="101">
        <v>2</v>
      </c>
      <c r="B46" s="101">
        <v>1</v>
      </c>
      <c r="C46" s="108">
        <v>5</v>
      </c>
      <c r="D46" s="101">
        <v>2</v>
      </c>
      <c r="E46" s="101"/>
      <c r="F46" s="116" t="s">
        <v>53</v>
      </c>
      <c r="G46" s="125">
        <v>988344</v>
      </c>
      <c r="H46" s="125"/>
      <c r="I46" s="128">
        <v>57000</v>
      </c>
      <c r="J46" s="128">
        <v>55956</v>
      </c>
      <c r="K46" s="128">
        <v>55884.89</v>
      </c>
      <c r="L46" s="128">
        <v>55884.89</v>
      </c>
      <c r="M46" s="128">
        <v>55884.89</v>
      </c>
      <c r="N46" s="128">
        <v>55884.88</v>
      </c>
      <c r="O46" s="128">
        <v>55884.89</v>
      </c>
      <c r="P46" s="128">
        <v>55884.88</v>
      </c>
      <c r="Q46" s="128">
        <v>55174.89</v>
      </c>
      <c r="R46" s="128">
        <v>138755.88</v>
      </c>
      <c r="S46" s="128">
        <v>83412.95</v>
      </c>
      <c r="T46" s="128">
        <v>151162.97</v>
      </c>
      <c r="U46" s="128">
        <f>+I46+J46+K46+L46+M46+N46+O46+P46+Q46+R46+S46+T46</f>
        <v>876772.01</v>
      </c>
      <c r="V46" s="16">
        <f>+G46-U46</f>
        <v>111571.98999999999</v>
      </c>
      <c r="W46" s="15"/>
    </row>
    <row r="47" spans="1:24" ht="31.5" x14ac:dyDescent="0.25">
      <c r="A47" s="101">
        <v>2</v>
      </c>
      <c r="B47" s="101">
        <v>1</v>
      </c>
      <c r="C47" s="108">
        <v>5</v>
      </c>
      <c r="D47" s="101">
        <v>3</v>
      </c>
      <c r="E47" s="101"/>
      <c r="F47" s="123" t="s">
        <v>54</v>
      </c>
      <c r="G47" s="125">
        <v>99141</v>
      </c>
      <c r="H47" s="125"/>
      <c r="I47" s="128">
        <v>6884</v>
      </c>
      <c r="J47" s="128">
        <v>6722</v>
      </c>
      <c r="K47" s="128">
        <v>6711.38</v>
      </c>
      <c r="L47" s="128">
        <v>7006.12</v>
      </c>
      <c r="M47" s="128">
        <v>7006.12</v>
      </c>
      <c r="N47" s="128">
        <v>7006.11</v>
      </c>
      <c r="O47" s="128">
        <v>7006.12</v>
      </c>
      <c r="P47" s="128">
        <v>7006.11</v>
      </c>
      <c r="Q47" s="128">
        <v>6896.12</v>
      </c>
      <c r="R47" s="128">
        <v>9874.68</v>
      </c>
      <c r="S47" s="128">
        <v>9150.49</v>
      </c>
      <c r="T47" s="128">
        <v>11625.22</v>
      </c>
      <c r="U47" s="128">
        <f>+I47+J47+K47+L47+M47+N47+O47+P47+Q47+R47+S47+T47</f>
        <v>92894.470000000016</v>
      </c>
      <c r="V47" s="16">
        <f>+G47-U47</f>
        <v>6246.5299999999843</v>
      </c>
      <c r="W47" s="15"/>
    </row>
    <row r="48" spans="1:24" ht="15.75" x14ac:dyDescent="0.25">
      <c r="A48" s="101"/>
      <c r="B48" s="101"/>
      <c r="C48" s="108"/>
      <c r="D48" s="101"/>
      <c r="E48" s="101"/>
      <c r="F48" s="123"/>
      <c r="G48" s="125"/>
      <c r="H48" s="125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>
        <f>+I48+J48+K48+L48+M48+N48+O48+P48+Q48+R48</f>
        <v>0</v>
      </c>
      <c r="V48" s="16"/>
      <c r="W48" s="7"/>
    </row>
    <row r="49" spans="1:25" ht="32.25" thickBot="1" x14ac:dyDescent="0.3">
      <c r="A49" s="101">
        <v>2</v>
      </c>
      <c r="B49" s="101">
        <v>2</v>
      </c>
      <c r="C49" s="108"/>
      <c r="D49" s="101"/>
      <c r="E49" s="109"/>
      <c r="F49" s="110" t="s">
        <v>55</v>
      </c>
      <c r="G49" s="111">
        <f t="shared" ref="G49:V49" si="13">G50+G58+G62+G66+G70+G84+G92+G79+G107</f>
        <v>23074550</v>
      </c>
      <c r="H49" s="111">
        <f>H50+H58+H62+H66+H70+H84+H92+H79+H107</f>
        <v>4775833</v>
      </c>
      <c r="I49" s="122">
        <f t="shared" si="13"/>
        <v>1468604.53</v>
      </c>
      <c r="J49" s="122">
        <f>J50+J58+J62+J66+J70+J84+J92+J79+J107</f>
        <v>1993285.58</v>
      </c>
      <c r="K49" s="122">
        <f t="shared" si="13"/>
        <v>1430691.19</v>
      </c>
      <c r="L49" s="122">
        <f t="shared" si="13"/>
        <v>1332599.6100000001</v>
      </c>
      <c r="M49" s="122">
        <f t="shared" si="13"/>
        <v>1840059.2000000002</v>
      </c>
      <c r="N49" s="122">
        <f t="shared" si="13"/>
        <v>1459476.86</v>
      </c>
      <c r="O49" s="122">
        <f t="shared" si="13"/>
        <v>1528311.11</v>
      </c>
      <c r="P49" s="122">
        <f t="shared" si="13"/>
        <v>1448269.3100000003</v>
      </c>
      <c r="Q49" s="122">
        <f t="shared" si="13"/>
        <v>1787547.3299999998</v>
      </c>
      <c r="R49" s="122">
        <f t="shared" si="13"/>
        <v>1401633.8900000001</v>
      </c>
      <c r="S49" s="122">
        <f t="shared" si="13"/>
        <v>1412347.7100000002</v>
      </c>
      <c r="T49" s="122">
        <f t="shared" si="13"/>
        <v>2992879</v>
      </c>
      <c r="U49" s="122">
        <f>U50+U58+U62+U66+U70+U84+U92+U79+U107</f>
        <v>20095705.319999997</v>
      </c>
      <c r="V49" s="13">
        <f t="shared" si="13"/>
        <v>2978844.6800000025</v>
      </c>
      <c r="W49" s="23"/>
      <c r="X49" s="14"/>
    </row>
    <row r="50" spans="1:25" ht="16.5" thickBot="1" x14ac:dyDescent="0.3">
      <c r="A50" s="101">
        <v>2</v>
      </c>
      <c r="B50" s="101">
        <v>2</v>
      </c>
      <c r="C50" s="108">
        <v>1</v>
      </c>
      <c r="D50" s="101"/>
      <c r="E50" s="109"/>
      <c r="F50" s="110" t="s">
        <v>56</v>
      </c>
      <c r="G50" s="130">
        <f t="shared" ref="G50:V50" si="14">G51+G52+G53+G55</f>
        <v>1385718</v>
      </c>
      <c r="H50" s="130">
        <f t="shared" si="14"/>
        <v>0</v>
      </c>
      <c r="I50" s="112">
        <f t="shared" si="14"/>
        <v>99503.51999999999</v>
      </c>
      <c r="J50" s="112">
        <f t="shared" si="14"/>
        <v>97254.39</v>
      </c>
      <c r="K50" s="112">
        <f t="shared" si="14"/>
        <v>95917.69</v>
      </c>
      <c r="L50" s="112">
        <f t="shared" si="14"/>
        <v>105311.01999999999</v>
      </c>
      <c r="M50" s="112">
        <f t="shared" si="14"/>
        <v>99791.87</v>
      </c>
      <c r="N50" s="112">
        <f t="shared" si="14"/>
        <v>101376.07</v>
      </c>
      <c r="O50" s="112">
        <f t="shared" si="14"/>
        <v>104966.05</v>
      </c>
      <c r="P50" s="112">
        <f t="shared" si="14"/>
        <v>110479.8</v>
      </c>
      <c r="Q50" s="112">
        <f t="shared" si="14"/>
        <v>106312.76000000001</v>
      </c>
      <c r="R50" s="112">
        <f t="shared" si="14"/>
        <v>118506.14000000001</v>
      </c>
      <c r="S50" s="112">
        <f t="shared" si="14"/>
        <v>114942.54000000001</v>
      </c>
      <c r="T50" s="112">
        <f>T51+T52+T53+T55</f>
        <v>199087.16</v>
      </c>
      <c r="U50" s="112">
        <f>U51+U52+U53+U55</f>
        <v>1353449.0100000002</v>
      </c>
      <c r="V50" s="9">
        <f t="shared" si="14"/>
        <v>32268.989999999874</v>
      </c>
      <c r="W50" s="14"/>
    </row>
    <row r="51" spans="1:25" ht="15.75" x14ac:dyDescent="0.25">
      <c r="A51" s="101">
        <v>2</v>
      </c>
      <c r="B51" s="101">
        <v>2</v>
      </c>
      <c r="C51" s="108">
        <v>1</v>
      </c>
      <c r="D51" s="101">
        <v>3</v>
      </c>
      <c r="E51" s="101"/>
      <c r="F51" s="116" t="s">
        <v>57</v>
      </c>
      <c r="G51" s="124">
        <v>315600</v>
      </c>
      <c r="H51" s="124"/>
      <c r="I51" s="127">
        <f>24838.79+29779.8</f>
        <v>54618.59</v>
      </c>
      <c r="J51" s="127">
        <f>24948.3+19739.29</f>
        <v>44687.59</v>
      </c>
      <c r="K51" s="127">
        <f>22269.59+25279.8</f>
        <v>47549.39</v>
      </c>
      <c r="L51" s="127">
        <f>22902.71+32267.89</f>
        <v>55170.6</v>
      </c>
      <c r="M51" s="127">
        <f>22290.64+24763.05</f>
        <v>47053.69</v>
      </c>
      <c r="N51" s="127">
        <f>22601.31+25279.8</f>
        <v>47881.11</v>
      </c>
      <c r="O51" s="127">
        <f>22351.25+25279.8</f>
        <v>47631.05</v>
      </c>
      <c r="P51" s="127">
        <f>25279.8+24046.27</f>
        <v>49326.07</v>
      </c>
      <c r="Q51" s="127">
        <f>22823.67+25279.8</f>
        <v>48103.47</v>
      </c>
      <c r="R51" s="127">
        <f>22427.97 +25279.8+10620</f>
        <v>58327.770000000004</v>
      </c>
      <c r="S51" s="127">
        <v>52534</v>
      </c>
      <c r="T51" s="127">
        <v>136165</v>
      </c>
      <c r="U51" s="127">
        <f>+I51+J51+K51+L51+M51+N51+O51+P51+Q51+R51+S51+T51</f>
        <v>689048.33000000007</v>
      </c>
      <c r="V51" s="17">
        <f>+G51-U51</f>
        <v>-373448.33000000007</v>
      </c>
      <c r="W51" s="7"/>
    </row>
    <row r="52" spans="1:25" ht="15.75" x14ac:dyDescent="0.25">
      <c r="A52" s="101">
        <v>2</v>
      </c>
      <c r="B52" s="101">
        <v>2</v>
      </c>
      <c r="C52" s="108">
        <v>1</v>
      </c>
      <c r="D52" s="101">
        <v>4</v>
      </c>
      <c r="E52" s="101"/>
      <c r="F52" s="116" t="s">
        <v>58</v>
      </c>
      <c r="G52" s="125"/>
      <c r="H52" s="125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>
        <f>+I52+J52+K52+L52+M52+N52+O52+P52+Q52+R52+S52</f>
        <v>0</v>
      </c>
      <c r="V52" s="16"/>
    </row>
    <row r="53" spans="1:25" ht="31.5" x14ac:dyDescent="0.25">
      <c r="A53" s="101">
        <v>2</v>
      </c>
      <c r="B53" s="101">
        <v>2</v>
      </c>
      <c r="C53" s="108">
        <v>1</v>
      </c>
      <c r="D53" s="101">
        <v>5</v>
      </c>
      <c r="E53" s="101"/>
      <c r="F53" s="116" t="s">
        <v>59</v>
      </c>
      <c r="G53" s="125">
        <v>350118</v>
      </c>
      <c r="H53" s="125"/>
      <c r="I53" s="128"/>
      <c r="J53" s="128"/>
      <c r="K53" s="128">
        <v>537</v>
      </c>
      <c r="L53" s="128"/>
      <c r="M53" s="128"/>
      <c r="N53" s="128"/>
      <c r="O53" s="128"/>
      <c r="P53" s="128"/>
      <c r="Q53" s="128"/>
      <c r="R53" s="128"/>
      <c r="S53" s="128"/>
      <c r="T53" s="128"/>
      <c r="U53" s="128">
        <v>537</v>
      </c>
      <c r="V53" s="16">
        <f>+G53-U53</f>
        <v>349581</v>
      </c>
      <c r="W53" s="7"/>
      <c r="Y53" s="7"/>
    </row>
    <row r="54" spans="1:25" ht="15.75" x14ac:dyDescent="0.25">
      <c r="A54" s="101"/>
      <c r="B54" s="101"/>
      <c r="C54" s="108"/>
      <c r="D54" s="101"/>
      <c r="E54" s="101"/>
      <c r="F54" s="116"/>
      <c r="G54" s="125"/>
      <c r="H54" s="125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6"/>
      <c r="W54" s="7"/>
    </row>
    <row r="55" spans="1:25" ht="16.5" thickBot="1" x14ac:dyDescent="0.3">
      <c r="A55" s="101">
        <v>2</v>
      </c>
      <c r="B55" s="101">
        <v>2</v>
      </c>
      <c r="C55" s="108">
        <v>1</v>
      </c>
      <c r="D55" s="101">
        <v>6</v>
      </c>
      <c r="E55" s="101"/>
      <c r="F55" s="121" t="s">
        <v>60</v>
      </c>
      <c r="G55" s="111">
        <f t="shared" ref="G55:V55" si="15">G56</f>
        <v>720000</v>
      </c>
      <c r="H55" s="111">
        <f t="shared" si="15"/>
        <v>0</v>
      </c>
      <c r="I55" s="135">
        <f t="shared" si="15"/>
        <v>44884.93</v>
      </c>
      <c r="J55" s="135">
        <f t="shared" si="15"/>
        <v>52566.8</v>
      </c>
      <c r="K55" s="135">
        <f t="shared" si="15"/>
        <v>47831.3</v>
      </c>
      <c r="L55" s="135">
        <f t="shared" si="15"/>
        <v>50140.42</v>
      </c>
      <c r="M55" s="135">
        <f t="shared" si="15"/>
        <v>52738.18</v>
      </c>
      <c r="N55" s="135">
        <f t="shared" si="15"/>
        <v>53494.96</v>
      </c>
      <c r="O55" s="135">
        <f t="shared" si="15"/>
        <v>57335</v>
      </c>
      <c r="P55" s="135">
        <f t="shared" si="15"/>
        <v>61153.73</v>
      </c>
      <c r="Q55" s="135">
        <f t="shared" si="15"/>
        <v>58209.29</v>
      </c>
      <c r="R55" s="135">
        <f t="shared" si="15"/>
        <v>60178.37</v>
      </c>
      <c r="S55" s="135">
        <f t="shared" si="15"/>
        <v>62408.54</v>
      </c>
      <c r="T55" s="135">
        <f t="shared" si="15"/>
        <v>62922.16</v>
      </c>
      <c r="U55" s="135">
        <f t="shared" si="15"/>
        <v>663863.68000000005</v>
      </c>
      <c r="V55" s="24">
        <f t="shared" si="15"/>
        <v>56136.319999999949</v>
      </c>
    </row>
    <row r="56" spans="1:25" ht="15.75" x14ac:dyDescent="0.25">
      <c r="A56" s="101">
        <v>2</v>
      </c>
      <c r="B56" s="101">
        <v>2</v>
      </c>
      <c r="C56" s="108">
        <v>1</v>
      </c>
      <c r="D56" s="101">
        <v>6</v>
      </c>
      <c r="E56" s="101">
        <v>1</v>
      </c>
      <c r="F56" s="116" t="s">
        <v>61</v>
      </c>
      <c r="G56" s="124">
        <v>720000</v>
      </c>
      <c r="H56" s="125"/>
      <c r="I56" s="128">
        <v>44884.93</v>
      </c>
      <c r="J56" s="127">
        <v>52566.8</v>
      </c>
      <c r="K56" s="127">
        <v>47831.3</v>
      </c>
      <c r="L56" s="127">
        <v>50140.42</v>
      </c>
      <c r="M56" s="127">
        <v>52738.18</v>
      </c>
      <c r="N56" s="127">
        <v>53494.96</v>
      </c>
      <c r="O56" s="127">
        <v>57335</v>
      </c>
      <c r="P56" s="127">
        <v>61153.73</v>
      </c>
      <c r="Q56" s="127">
        <v>58209.29</v>
      </c>
      <c r="R56" s="127">
        <v>60178.37</v>
      </c>
      <c r="S56" s="127">
        <v>62408.54</v>
      </c>
      <c r="T56" s="127">
        <v>62922.16</v>
      </c>
      <c r="U56" s="127">
        <f>+I56+J56+K56+L56+M56+N56+O56+P56+Q56+R56+S56+T56</f>
        <v>663863.68000000005</v>
      </c>
      <c r="V56" s="17">
        <f>+G56-U56</f>
        <v>56136.319999999949</v>
      </c>
      <c r="W56" s="14"/>
    </row>
    <row r="57" spans="1:25" ht="15.75" x14ac:dyDescent="0.25">
      <c r="A57" s="101"/>
      <c r="B57" s="101"/>
      <c r="C57" s="108"/>
      <c r="D57" s="101"/>
      <c r="E57" s="101"/>
      <c r="F57" s="116"/>
      <c r="G57" s="125"/>
      <c r="H57" s="125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6"/>
    </row>
    <row r="58" spans="1:25" ht="48" thickBot="1" x14ac:dyDescent="0.3">
      <c r="A58" s="101">
        <v>2</v>
      </c>
      <c r="B58" s="101">
        <v>2</v>
      </c>
      <c r="C58" s="108">
        <v>2</v>
      </c>
      <c r="D58" s="101"/>
      <c r="E58" s="101"/>
      <c r="F58" s="121" t="s">
        <v>62</v>
      </c>
      <c r="G58" s="111">
        <f>SUM(G59:G60)</f>
        <v>160500</v>
      </c>
      <c r="H58" s="111">
        <f>SUM(H59:H60)</f>
        <v>0</v>
      </c>
      <c r="I58" s="112">
        <f>I59+I60</f>
        <v>7382</v>
      </c>
      <c r="J58" s="111">
        <f t="shared" ref="J58" si="16">SUM(J59:J60)</f>
        <v>160000</v>
      </c>
      <c r="K58" s="122">
        <f>K59+K60</f>
        <v>3525</v>
      </c>
      <c r="L58" s="122">
        <f t="shared" ref="L58:T58" si="17">L59+L60</f>
        <v>0</v>
      </c>
      <c r="M58" s="122">
        <f t="shared" si="17"/>
        <v>355705</v>
      </c>
      <c r="N58" s="122">
        <f t="shared" si="17"/>
        <v>0</v>
      </c>
      <c r="O58" s="122">
        <f t="shared" si="17"/>
        <v>0</v>
      </c>
      <c r="P58" s="122">
        <f t="shared" si="17"/>
        <v>0</v>
      </c>
      <c r="Q58" s="122">
        <f t="shared" si="17"/>
        <v>28953.599999999999</v>
      </c>
      <c r="R58" s="122">
        <f t="shared" si="17"/>
        <v>28913.98</v>
      </c>
      <c r="S58" s="122">
        <f t="shared" si="17"/>
        <v>0</v>
      </c>
      <c r="T58" s="122">
        <f t="shared" si="17"/>
        <v>2347.89</v>
      </c>
      <c r="U58" s="136">
        <f>U59+U60</f>
        <v>586827.47</v>
      </c>
      <c r="V58" s="25">
        <f>V59+V60</f>
        <v>-426327.47</v>
      </c>
    </row>
    <row r="59" spans="1:25" ht="31.5" x14ac:dyDescent="0.25">
      <c r="A59" s="101">
        <v>2</v>
      </c>
      <c r="B59" s="101">
        <v>2</v>
      </c>
      <c r="C59" s="108">
        <v>2</v>
      </c>
      <c r="D59" s="101">
        <v>1</v>
      </c>
      <c r="E59" s="101"/>
      <c r="F59" s="123" t="s">
        <v>63</v>
      </c>
      <c r="G59" s="124">
        <v>160500</v>
      </c>
      <c r="H59" s="124"/>
      <c r="I59" s="127">
        <v>3100</v>
      </c>
      <c r="J59" s="128">
        <v>160000</v>
      </c>
      <c r="K59" s="128">
        <v>3450</v>
      </c>
      <c r="L59" s="128"/>
      <c r="M59" s="128"/>
      <c r="N59" s="128"/>
      <c r="O59" s="128"/>
      <c r="P59" s="128"/>
      <c r="Q59" s="128"/>
      <c r="R59" s="128"/>
      <c r="S59" s="128"/>
      <c r="T59" s="128"/>
      <c r="U59" s="128">
        <f>+I59+J59+K59+L59+M59+N59+O59+P59+Q59+R59+S59+T59</f>
        <v>166550</v>
      </c>
      <c r="V59" s="16">
        <f>+G59-U59</f>
        <v>-6050</v>
      </c>
      <c r="W59" s="7"/>
    </row>
    <row r="60" spans="1:25" ht="31.5" x14ac:dyDescent="0.25">
      <c r="A60" s="101">
        <v>2</v>
      </c>
      <c r="B60" s="101">
        <v>2</v>
      </c>
      <c r="C60" s="108">
        <v>2</v>
      </c>
      <c r="D60" s="101">
        <v>2</v>
      </c>
      <c r="E60" s="101"/>
      <c r="F60" s="123" t="s">
        <v>64</v>
      </c>
      <c r="G60" s="125"/>
      <c r="H60" s="125"/>
      <c r="I60" s="128">
        <v>4282</v>
      </c>
      <c r="J60" s="128"/>
      <c r="K60" s="128">
        <v>75</v>
      </c>
      <c r="L60" s="128"/>
      <c r="M60" s="128">
        <f>318007+37698</f>
        <v>355705</v>
      </c>
      <c r="N60" s="128"/>
      <c r="O60" s="128"/>
      <c r="P60" s="128"/>
      <c r="Q60" s="128">
        <f>12484.4+12484.4+1436+2548.8</f>
        <v>28953.599999999999</v>
      </c>
      <c r="R60" s="128">
        <f>19470+9443.98</f>
        <v>28913.98</v>
      </c>
      <c r="S60" s="128"/>
      <c r="T60" s="128">
        <v>2347.89</v>
      </c>
      <c r="U60" s="128">
        <f>+I60+J60+K60+L60+M60+N60+O60+P60+Q60+R60+S60+T60</f>
        <v>420277.47</v>
      </c>
      <c r="V60" s="16">
        <f>+G60-U60</f>
        <v>-420277.47</v>
      </c>
      <c r="W60" s="7"/>
    </row>
    <row r="61" spans="1:25" ht="15.75" x14ac:dyDescent="0.25">
      <c r="A61" s="101"/>
      <c r="B61" s="101"/>
      <c r="C61" s="108"/>
      <c r="D61" s="101"/>
      <c r="E61" s="101"/>
      <c r="F61" s="116"/>
      <c r="G61" s="125"/>
      <c r="H61" s="125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6"/>
    </row>
    <row r="62" spans="1:25" ht="16.5" thickBot="1" x14ac:dyDescent="0.3">
      <c r="A62" s="101">
        <v>2</v>
      </c>
      <c r="B62" s="101">
        <v>2</v>
      </c>
      <c r="C62" s="108">
        <v>3</v>
      </c>
      <c r="D62" s="101"/>
      <c r="E62" s="101"/>
      <c r="F62" s="121" t="s">
        <v>65</v>
      </c>
      <c r="G62" s="111">
        <f t="shared" ref="G62:V62" si="18">G63+G64</f>
        <v>1320000</v>
      </c>
      <c r="H62" s="111">
        <f t="shared" si="18"/>
        <v>0</v>
      </c>
      <c r="I62" s="122">
        <f t="shared" si="18"/>
        <v>140425.9</v>
      </c>
      <c r="J62" s="122">
        <f t="shared" si="18"/>
        <v>166019.91999999998</v>
      </c>
      <c r="K62" s="122">
        <f t="shared" si="18"/>
        <v>163623.79999999999</v>
      </c>
      <c r="L62" s="122">
        <f t="shared" si="18"/>
        <v>116340</v>
      </c>
      <c r="M62" s="122">
        <f t="shared" si="18"/>
        <v>151740</v>
      </c>
      <c r="N62" s="122">
        <f t="shared" si="18"/>
        <v>138080</v>
      </c>
      <c r="O62" s="122">
        <f t="shared" si="18"/>
        <v>126680</v>
      </c>
      <c r="P62" s="122">
        <f t="shared" si="18"/>
        <v>143000</v>
      </c>
      <c r="Q62" s="122">
        <f>Q63+Q64</f>
        <v>138710</v>
      </c>
      <c r="R62" s="122">
        <f>R63+R64</f>
        <v>119998.7</v>
      </c>
      <c r="S62" s="122">
        <f>S63+S64</f>
        <v>0</v>
      </c>
      <c r="T62" s="122">
        <f>T63+T64</f>
        <v>0</v>
      </c>
      <c r="U62" s="122">
        <f t="shared" si="18"/>
        <v>1404618.3199999998</v>
      </c>
      <c r="V62" s="13">
        <f t="shared" si="18"/>
        <v>-84618.319999999949</v>
      </c>
    </row>
    <row r="63" spans="1:25" ht="15.75" x14ac:dyDescent="0.25">
      <c r="A63" s="101">
        <v>2</v>
      </c>
      <c r="B63" s="101">
        <v>2</v>
      </c>
      <c r="C63" s="108">
        <v>3</v>
      </c>
      <c r="D63" s="101">
        <v>1</v>
      </c>
      <c r="E63" s="137"/>
      <c r="F63" s="123" t="s">
        <v>66</v>
      </c>
      <c r="G63" s="117">
        <v>1320000</v>
      </c>
      <c r="H63" s="117"/>
      <c r="I63" s="118">
        <f>2800+4800+4800+5280+4800+4763.9+7200+5760+5600+4800+4000+4000+5500+5500+7260+6600+4622+6600+4400+8640+7200+9900+7200+8400</f>
        <v>140425.9</v>
      </c>
      <c r="J63" s="118">
        <f>6600+6600+4400+6600+5500+5157+7920+5500+7700+3300+6600+9900+4800+4000+7200+4200+5760+5940+4800+4000+3479+3200+5600+4800</f>
        <v>133556</v>
      </c>
      <c r="K63" s="118">
        <f>7920+5000+6600+6050+7700+9900+6600+4950+6600+4800+5183.8+5500+6000+8580+6000+4800+6000+7200+8400+6000+7200+7200+8640+10800</f>
        <v>163623.79999999999</v>
      </c>
      <c r="L63" s="118">
        <f>5280+1500+4800+1500+4800+4000+4800+4800+5760+7200+4000+3600+6000+6000+6000+9000+7000+6600+5000+6000+5000+5000+2700</f>
        <v>116340</v>
      </c>
      <c r="M63" s="118">
        <f>6000+6000+7000+7200+6000+5500+9000+5000+5000+2400+5000+6600+1000+6000+6000+7920+10800+6600+6000+7200+8400+7200+6000+7920</f>
        <v>151740</v>
      </c>
      <c r="N63" s="118">
        <f>4000+4900+5760+5400+4500+4500+5400+7200+4000+5400+5940+5400+1500+6600+6600+6600+4000+7260+7920+5500+5500+9900+7700+6600</f>
        <v>138080</v>
      </c>
      <c r="O63" s="118">
        <f>9000+5000+6000+7200+6000+6000+3300+7000+4500+6000+7700+7920+6600+9000+7260+6600+5500+6000+3500+6600</f>
        <v>126680</v>
      </c>
      <c r="P63" s="118">
        <f>6500+6300+8100+5940+5400+5400+4500+5400+4500+5400+4500+6480+6600+5000+5500+7700+6600+6660+7920+6600+9900+6600+5500</f>
        <v>143000</v>
      </c>
      <c r="Q63" s="118">
        <f>6600+7260+6600+7700+5500+5500+9900+5500+7920+6600+6600+1000+1800+6600+5400+6000+5000+4500+6000+1700+2500+7200+8100+4500</f>
        <v>135980</v>
      </c>
      <c r="R63" s="118">
        <v>500</v>
      </c>
      <c r="S63" s="118"/>
      <c r="T63" s="118"/>
      <c r="U63" s="118">
        <f>+I63+J63+K63+L63+M63+N63+O63+P63+Q63+R63+S63+T63</f>
        <v>1249925.7</v>
      </c>
      <c r="V63" s="11">
        <f t="shared" ref="V63:V69" si="19">+G63-U63</f>
        <v>70074.300000000047</v>
      </c>
      <c r="W63" s="7"/>
    </row>
    <row r="64" spans="1:25" ht="15.75" x14ac:dyDescent="0.25">
      <c r="A64" s="101">
        <v>2</v>
      </c>
      <c r="B64" s="101">
        <v>2</v>
      </c>
      <c r="C64" s="108">
        <v>3</v>
      </c>
      <c r="D64" s="101">
        <v>2</v>
      </c>
      <c r="E64" s="137"/>
      <c r="F64" s="123" t="s">
        <v>67</v>
      </c>
      <c r="G64" s="125"/>
      <c r="H64" s="125"/>
      <c r="I64" s="128"/>
      <c r="J64" s="128">
        <v>32463.919999999998</v>
      </c>
      <c r="K64" s="128"/>
      <c r="L64" s="128"/>
      <c r="M64" s="128"/>
      <c r="N64" s="128"/>
      <c r="O64" s="128"/>
      <c r="P64" s="128"/>
      <c r="Q64" s="128">
        <v>2730</v>
      </c>
      <c r="R64" s="128">
        <v>119498.7</v>
      </c>
      <c r="S64" s="128"/>
      <c r="T64" s="128"/>
      <c r="U64" s="128">
        <f>+I64+J64+K64+L64+M64+N64+O64+P64+Q64+R64+S64+T64</f>
        <v>154692.62</v>
      </c>
      <c r="V64" s="16">
        <f t="shared" si="19"/>
        <v>-154692.62</v>
      </c>
      <c r="W64" s="7"/>
    </row>
    <row r="65" spans="1:25" ht="15.75" x14ac:dyDescent="0.25">
      <c r="A65" s="101"/>
      <c r="B65" s="101"/>
      <c r="C65" s="108"/>
      <c r="D65" s="101"/>
      <c r="E65" s="101"/>
      <c r="F65" s="123"/>
      <c r="G65" s="125"/>
      <c r="H65" s="125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6">
        <f t="shared" si="19"/>
        <v>0</v>
      </c>
    </row>
    <row r="66" spans="1:25" ht="32.25" thickBot="1" x14ac:dyDescent="0.3">
      <c r="A66" s="101">
        <v>2</v>
      </c>
      <c r="B66" s="101">
        <v>2</v>
      </c>
      <c r="C66" s="108">
        <v>4</v>
      </c>
      <c r="D66" s="101"/>
      <c r="E66" s="101"/>
      <c r="F66" s="121" t="s">
        <v>68</v>
      </c>
      <c r="G66" s="111">
        <f t="shared" ref="G66:T66" si="20">G67+G68</f>
        <v>0</v>
      </c>
      <c r="H66" s="111">
        <f t="shared" si="20"/>
        <v>0</v>
      </c>
      <c r="I66" s="122">
        <f t="shared" si="20"/>
        <v>1170</v>
      </c>
      <c r="J66" s="122">
        <f t="shared" si="20"/>
        <v>230466.47</v>
      </c>
      <c r="K66" s="122">
        <f t="shared" si="20"/>
        <v>900</v>
      </c>
      <c r="L66" s="122">
        <f t="shared" si="20"/>
        <v>0</v>
      </c>
      <c r="M66" s="122">
        <f t="shared" si="20"/>
        <v>2100</v>
      </c>
      <c r="N66" s="122">
        <f t="shared" si="20"/>
        <v>400</v>
      </c>
      <c r="O66" s="122">
        <f t="shared" si="20"/>
        <v>750</v>
      </c>
      <c r="P66" s="122">
        <f t="shared" si="20"/>
        <v>540</v>
      </c>
      <c r="Q66" s="122">
        <f t="shared" si="20"/>
        <v>0</v>
      </c>
      <c r="R66" s="122">
        <f t="shared" si="20"/>
        <v>0</v>
      </c>
      <c r="S66" s="122">
        <f t="shared" si="20"/>
        <v>0</v>
      </c>
      <c r="T66" s="122">
        <f t="shared" si="20"/>
        <v>5318.48</v>
      </c>
      <c r="U66" s="122">
        <f>U67+U68</f>
        <v>241644.95</v>
      </c>
      <c r="V66" s="13">
        <f t="shared" si="19"/>
        <v>-241644.95</v>
      </c>
      <c r="W66" s="8"/>
    </row>
    <row r="67" spans="1:25" ht="15.75" x14ac:dyDescent="0.25">
      <c r="A67" s="101">
        <v>2</v>
      </c>
      <c r="B67" s="101">
        <v>2</v>
      </c>
      <c r="C67" s="108">
        <v>4</v>
      </c>
      <c r="D67" s="101">
        <v>1</v>
      </c>
      <c r="E67" s="101"/>
      <c r="F67" s="123" t="s">
        <v>69</v>
      </c>
      <c r="G67" s="124"/>
      <c r="H67" s="125"/>
      <c r="I67" s="128">
        <f>240+500+430</f>
        <v>1170</v>
      </c>
      <c r="J67" s="128">
        <f>220981.47+1000+500+125+360+7500</f>
        <v>230466.47</v>
      </c>
      <c r="K67" s="138">
        <f>250+300+200+150</f>
        <v>900</v>
      </c>
      <c r="L67" s="138"/>
      <c r="M67" s="138">
        <f>550+300+250+1000</f>
        <v>2100</v>
      </c>
      <c r="N67" s="138">
        <f>300+100</f>
        <v>400</v>
      </c>
      <c r="O67" s="138">
        <f>150+600</f>
        <v>750</v>
      </c>
      <c r="P67" s="138">
        <v>540</v>
      </c>
      <c r="Q67" s="128"/>
      <c r="R67" s="128"/>
      <c r="S67" s="128"/>
      <c r="T67" s="128">
        <v>5318.48</v>
      </c>
      <c r="U67" s="128">
        <f>+I67+J67+K67+L67+M67+N67+O67+P67+Q67+R67+S67+T67</f>
        <v>241644.95</v>
      </c>
      <c r="V67" s="16">
        <f t="shared" si="19"/>
        <v>-241644.95</v>
      </c>
      <c r="W67" s="7"/>
    </row>
    <row r="68" spans="1:25" ht="15.75" x14ac:dyDescent="0.25">
      <c r="A68" s="101">
        <v>2</v>
      </c>
      <c r="B68" s="101">
        <v>2</v>
      </c>
      <c r="C68" s="108">
        <v>4</v>
      </c>
      <c r="D68" s="101">
        <v>3</v>
      </c>
      <c r="E68" s="101"/>
      <c r="F68" s="123" t="s">
        <v>70</v>
      </c>
      <c r="G68" s="125"/>
      <c r="H68" s="125"/>
      <c r="I68" s="128">
        <v>0</v>
      </c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>
        <f>+J68+K68+L68+M68+N68+I68+O68+P68+Q68+R68+S68</f>
        <v>0</v>
      </c>
      <c r="V68" s="16">
        <f t="shared" si="19"/>
        <v>0</v>
      </c>
    </row>
    <row r="69" spans="1:25" ht="15.75" x14ac:dyDescent="0.25">
      <c r="A69" s="101"/>
      <c r="B69" s="101"/>
      <c r="C69" s="108"/>
      <c r="D69" s="101"/>
      <c r="E69" s="101"/>
      <c r="F69" s="123"/>
      <c r="G69" s="125"/>
      <c r="H69" s="125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6">
        <f t="shared" si="19"/>
        <v>0</v>
      </c>
    </row>
    <row r="70" spans="1:25" ht="16.5" thickBot="1" x14ac:dyDescent="0.3">
      <c r="A70" s="101">
        <v>2</v>
      </c>
      <c r="B70" s="101">
        <v>2</v>
      </c>
      <c r="C70" s="108">
        <v>5</v>
      </c>
      <c r="D70" s="101"/>
      <c r="E70" s="101"/>
      <c r="F70" s="121" t="s">
        <v>71</v>
      </c>
      <c r="G70" s="111">
        <f>G71+G76</f>
        <v>8800383</v>
      </c>
      <c r="H70" s="111">
        <f>H71+H76</f>
        <v>0</v>
      </c>
      <c r="I70" s="112">
        <f t="shared" ref="I70:V70" si="21">I73+I71</f>
        <v>747472.03</v>
      </c>
      <c r="J70" s="112">
        <f t="shared" si="21"/>
        <v>752827.45</v>
      </c>
      <c r="K70" s="112">
        <f t="shared" si="21"/>
        <v>737953.5</v>
      </c>
      <c r="L70" s="112">
        <f t="shared" si="21"/>
        <v>730342.89999999991</v>
      </c>
      <c r="M70" s="112">
        <f t="shared" si="21"/>
        <v>726027.93</v>
      </c>
      <c r="N70" s="112">
        <f t="shared" si="21"/>
        <v>726892.78</v>
      </c>
      <c r="O70" s="112">
        <f t="shared" si="21"/>
        <v>737779.19999999995</v>
      </c>
      <c r="P70" s="112">
        <f t="shared" si="21"/>
        <v>748490.04</v>
      </c>
      <c r="Q70" s="112">
        <f t="shared" si="21"/>
        <v>755884.1</v>
      </c>
      <c r="R70" s="112">
        <f t="shared" si="21"/>
        <v>756825.52</v>
      </c>
      <c r="S70" s="112">
        <f t="shared" si="21"/>
        <v>774834.85</v>
      </c>
      <c r="T70" s="112">
        <f t="shared" si="21"/>
        <v>775296.1</v>
      </c>
      <c r="U70" s="112">
        <f>U73+U71</f>
        <v>8970626.3999999985</v>
      </c>
      <c r="V70" s="9">
        <f t="shared" si="21"/>
        <v>-170243.39999999851</v>
      </c>
    </row>
    <row r="71" spans="1:25" ht="31.5" x14ac:dyDescent="0.25">
      <c r="A71" s="101">
        <v>2</v>
      </c>
      <c r="B71" s="101">
        <v>2</v>
      </c>
      <c r="C71" s="108">
        <v>5</v>
      </c>
      <c r="D71" s="101">
        <v>1</v>
      </c>
      <c r="E71" s="101"/>
      <c r="F71" s="116" t="s">
        <v>72</v>
      </c>
      <c r="G71" s="124">
        <v>8686396</v>
      </c>
      <c r="H71" s="124"/>
      <c r="I71" s="127">
        <f>722696.37+16515.66</f>
        <v>739212.03</v>
      </c>
      <c r="J71" s="127">
        <f>727932.13+16635.32</f>
        <v>744567.45</v>
      </c>
      <c r="K71" s="127">
        <f>16303+713390.5</f>
        <v>729693.5</v>
      </c>
      <c r="L71" s="127">
        <f>705949.94+16132.96</f>
        <v>722082.89999999991</v>
      </c>
      <c r="M71" s="127">
        <f>16036.55+701731.38</f>
        <v>717767.93</v>
      </c>
      <c r="N71" s="127">
        <f>16055.88+702576.9</f>
        <v>718632.78</v>
      </c>
      <c r="O71" s="127">
        <f>713220.1+16299.1</f>
        <v>729519.2</v>
      </c>
      <c r="P71" s="127">
        <f>16538.41+723691.63</f>
        <v>740230.04</v>
      </c>
      <c r="Q71" s="127">
        <f>16703.61+730920.49</f>
        <v>747624.1</v>
      </c>
      <c r="R71" s="127">
        <f>731840.88+16724.64</f>
        <v>748565.52</v>
      </c>
      <c r="S71" s="127">
        <f>749856.46+16718.39</f>
        <v>766574.85</v>
      </c>
      <c r="T71" s="127">
        <f>16728.45+750307.65</f>
        <v>767036.1</v>
      </c>
      <c r="U71" s="127">
        <f>+I71+J71+K71+L71+M71+N71+O71+P71+Q71+R71+S71+T71</f>
        <v>8871506.3999999985</v>
      </c>
      <c r="V71" s="17">
        <f>+G71-U71</f>
        <v>-185110.39999999851</v>
      </c>
      <c r="W71" s="14"/>
    </row>
    <row r="72" spans="1:25" ht="15.75" x14ac:dyDescent="0.25">
      <c r="A72" s="101"/>
      <c r="B72" s="101"/>
      <c r="C72" s="108"/>
      <c r="D72" s="101"/>
      <c r="E72" s="137"/>
      <c r="F72" s="123"/>
      <c r="G72" s="125"/>
      <c r="H72" s="125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6"/>
    </row>
    <row r="73" spans="1:25" ht="32.25" thickBot="1" x14ac:dyDescent="0.3">
      <c r="A73" s="101">
        <v>2</v>
      </c>
      <c r="B73" s="101">
        <v>2</v>
      </c>
      <c r="C73" s="108">
        <v>5</v>
      </c>
      <c r="D73" s="101">
        <v>3</v>
      </c>
      <c r="E73" s="109"/>
      <c r="F73" s="121" t="s">
        <v>73</v>
      </c>
      <c r="G73" s="111">
        <f t="shared" ref="G73:V73" si="22">G74+G75+G76</f>
        <v>113987</v>
      </c>
      <c r="H73" s="111">
        <f t="shared" si="22"/>
        <v>0</v>
      </c>
      <c r="I73" s="122">
        <f t="shared" si="22"/>
        <v>8260</v>
      </c>
      <c r="J73" s="122">
        <f>J74+J75+J76</f>
        <v>8260</v>
      </c>
      <c r="K73" s="122">
        <f t="shared" si="22"/>
        <v>8260</v>
      </c>
      <c r="L73" s="122">
        <f t="shared" si="22"/>
        <v>8260</v>
      </c>
      <c r="M73" s="122">
        <f t="shared" si="22"/>
        <v>8260</v>
      </c>
      <c r="N73" s="122">
        <f t="shared" si="22"/>
        <v>8260</v>
      </c>
      <c r="O73" s="122">
        <f t="shared" si="22"/>
        <v>8260</v>
      </c>
      <c r="P73" s="122">
        <f t="shared" si="22"/>
        <v>8260</v>
      </c>
      <c r="Q73" s="122">
        <f t="shared" si="22"/>
        <v>8260</v>
      </c>
      <c r="R73" s="122">
        <f t="shared" si="22"/>
        <v>8260</v>
      </c>
      <c r="S73" s="122">
        <f t="shared" si="22"/>
        <v>8260</v>
      </c>
      <c r="T73" s="122">
        <f t="shared" si="22"/>
        <v>8260</v>
      </c>
      <c r="U73" s="122">
        <f t="shared" si="22"/>
        <v>99120</v>
      </c>
      <c r="V73" s="13">
        <f t="shared" si="22"/>
        <v>14867</v>
      </c>
    </row>
    <row r="74" spans="1:25" ht="31.5" x14ac:dyDescent="0.25">
      <c r="A74" s="101">
        <v>2</v>
      </c>
      <c r="B74" s="101">
        <v>2</v>
      </c>
      <c r="C74" s="108">
        <v>5</v>
      </c>
      <c r="D74" s="101">
        <v>3</v>
      </c>
      <c r="E74" s="101">
        <v>2</v>
      </c>
      <c r="F74" s="116" t="s">
        <v>74</v>
      </c>
      <c r="G74" s="124"/>
      <c r="H74" s="125"/>
      <c r="I74" s="128">
        <v>0</v>
      </c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>
        <f>+I74+J74+K74+L74+M74+N74+O74+P74+Q74+R74+S74</f>
        <v>0</v>
      </c>
      <c r="V74" s="16">
        <f>+G74-U74</f>
        <v>0</v>
      </c>
    </row>
    <row r="75" spans="1:25" ht="31.5" x14ac:dyDescent="0.25">
      <c r="A75" s="101">
        <v>2</v>
      </c>
      <c r="B75" s="101">
        <v>2</v>
      </c>
      <c r="C75" s="108">
        <v>5</v>
      </c>
      <c r="D75" s="101">
        <v>3</v>
      </c>
      <c r="E75" s="101">
        <v>3</v>
      </c>
      <c r="F75" s="116" t="s">
        <v>75</v>
      </c>
      <c r="G75" s="125"/>
      <c r="H75" s="125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>
        <f>+I75+J75+K75+L75+M75+N75+O75+P75+Q75+R75+S75</f>
        <v>0</v>
      </c>
      <c r="V75" s="16">
        <f>+G75-U75</f>
        <v>0</v>
      </c>
    </row>
    <row r="76" spans="1:25" ht="31.5" x14ac:dyDescent="0.25">
      <c r="A76" s="101">
        <v>2</v>
      </c>
      <c r="B76" s="101">
        <v>2</v>
      </c>
      <c r="C76" s="108">
        <v>5</v>
      </c>
      <c r="D76" s="101">
        <v>3</v>
      </c>
      <c r="E76" s="101">
        <v>4</v>
      </c>
      <c r="F76" s="116" t="s">
        <v>76</v>
      </c>
      <c r="G76" s="125">
        <v>113987</v>
      </c>
      <c r="H76" s="125"/>
      <c r="I76" s="128">
        <v>8260</v>
      </c>
      <c r="J76" s="139">
        <v>8260</v>
      </c>
      <c r="K76" s="139">
        <v>8260</v>
      </c>
      <c r="L76" s="139">
        <v>8260</v>
      </c>
      <c r="M76" s="139">
        <v>8260</v>
      </c>
      <c r="N76" s="139">
        <v>8260</v>
      </c>
      <c r="O76" s="139">
        <v>8260</v>
      </c>
      <c r="P76" s="139">
        <v>8260</v>
      </c>
      <c r="Q76" s="139">
        <v>8260</v>
      </c>
      <c r="R76" s="139">
        <v>8260</v>
      </c>
      <c r="S76" s="139">
        <v>8260</v>
      </c>
      <c r="T76" s="139">
        <v>8260</v>
      </c>
      <c r="U76" s="128">
        <f>+I76+J76+K76+L76+M76+N76+O76+P76+Q76+R76+S76+T76</f>
        <v>99120</v>
      </c>
      <c r="V76" s="16">
        <f>+G76-U76</f>
        <v>14867</v>
      </c>
      <c r="W76" s="7"/>
    </row>
    <row r="77" spans="1:25" ht="15.75" x14ac:dyDescent="0.25">
      <c r="A77" s="101"/>
      <c r="B77" s="101"/>
      <c r="C77" s="108"/>
      <c r="D77" s="101"/>
      <c r="E77" s="101"/>
      <c r="F77" s="116"/>
      <c r="G77" s="125"/>
      <c r="H77" s="125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6"/>
    </row>
    <row r="78" spans="1:25" ht="16.5" thickBot="1" x14ac:dyDescent="0.3">
      <c r="A78" s="101"/>
      <c r="B78" s="101"/>
      <c r="C78" s="108"/>
      <c r="D78" s="101"/>
      <c r="E78" s="101"/>
      <c r="F78" s="116"/>
      <c r="G78" s="125"/>
      <c r="H78" s="125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6"/>
    </row>
    <row r="79" spans="1:25" s="26" customFormat="1" ht="16.5" thickBot="1" x14ac:dyDescent="0.3">
      <c r="A79" s="101">
        <v>2</v>
      </c>
      <c r="B79" s="101">
        <v>2</v>
      </c>
      <c r="C79" s="108">
        <v>6</v>
      </c>
      <c r="D79" s="101"/>
      <c r="E79" s="101"/>
      <c r="F79" s="116" t="s">
        <v>77</v>
      </c>
      <c r="G79" s="130">
        <f t="shared" ref="G79:V79" si="23">G81+G80</f>
        <v>1981149</v>
      </c>
      <c r="H79" s="130">
        <f t="shared" si="23"/>
        <v>260000</v>
      </c>
      <c r="I79" s="131">
        <f t="shared" si="23"/>
        <v>115067.34</v>
      </c>
      <c r="J79" s="131">
        <f t="shared" si="23"/>
        <v>105567</v>
      </c>
      <c r="K79" s="131">
        <f t="shared" si="23"/>
        <v>104873.85</v>
      </c>
      <c r="L79" s="131">
        <f t="shared" si="23"/>
        <v>101284.83</v>
      </c>
      <c r="M79" s="131">
        <f>M81+M80</f>
        <v>206258.3</v>
      </c>
      <c r="N79" s="131">
        <f t="shared" si="23"/>
        <v>113934.58</v>
      </c>
      <c r="O79" s="131">
        <f t="shared" si="23"/>
        <v>113934.58</v>
      </c>
      <c r="P79" s="131">
        <f t="shared" si="23"/>
        <v>113934.58</v>
      </c>
      <c r="Q79" s="131">
        <f t="shared" si="23"/>
        <v>113934.58</v>
      </c>
      <c r="R79" s="131">
        <f t="shared" si="23"/>
        <v>111206.7</v>
      </c>
      <c r="S79" s="131">
        <f t="shared" si="23"/>
        <v>112025.61</v>
      </c>
      <c r="T79" s="131">
        <f t="shared" si="23"/>
        <v>108478.82</v>
      </c>
      <c r="U79" s="131">
        <f t="shared" si="23"/>
        <v>1420500.77</v>
      </c>
      <c r="V79" s="19">
        <f t="shared" si="23"/>
        <v>560648.23</v>
      </c>
    </row>
    <row r="80" spans="1:25" ht="32.25" thickBot="1" x14ac:dyDescent="0.3">
      <c r="A80" s="140">
        <v>2</v>
      </c>
      <c r="B80" s="140">
        <v>2</v>
      </c>
      <c r="C80" s="141">
        <v>6</v>
      </c>
      <c r="D80" s="140">
        <v>2</v>
      </c>
      <c r="E80" s="140">
        <v>1</v>
      </c>
      <c r="F80" s="142" t="s">
        <v>78</v>
      </c>
      <c r="G80" s="143">
        <f>91078+260000</f>
        <v>351078</v>
      </c>
      <c r="H80" s="143"/>
      <c r="I80" s="114"/>
      <c r="J80" s="114"/>
      <c r="K80" s="114"/>
      <c r="L80" s="114"/>
      <c r="M80" s="114">
        <v>92323.72</v>
      </c>
      <c r="N80" s="114"/>
      <c r="O80" s="114"/>
      <c r="P80" s="114"/>
      <c r="Q80" s="114"/>
      <c r="R80" s="114"/>
      <c r="S80" s="114"/>
      <c r="T80" s="114"/>
      <c r="U80" s="144">
        <f>+I80+J80+K80+L80+M80+N80+O80+P80+Q80+R80+S80</f>
        <v>92323.72</v>
      </c>
      <c r="V80" s="20">
        <f>+G80-U80</f>
        <v>258754.28</v>
      </c>
      <c r="W80" s="7"/>
      <c r="Y80" s="7"/>
    </row>
    <row r="81" spans="1:27" ht="15.75" x14ac:dyDescent="0.25">
      <c r="A81" s="101">
        <v>2</v>
      </c>
      <c r="B81" s="101">
        <v>2</v>
      </c>
      <c r="C81" s="108">
        <v>6</v>
      </c>
      <c r="D81" s="101">
        <v>3</v>
      </c>
      <c r="E81" s="101">
        <v>1</v>
      </c>
      <c r="F81" s="116" t="s">
        <v>79</v>
      </c>
      <c r="G81" s="125">
        <v>1630071</v>
      </c>
      <c r="H81" s="145">
        <f>260000</f>
        <v>260000</v>
      </c>
      <c r="I81" s="128">
        <v>115067.34</v>
      </c>
      <c r="J81" s="128">
        <v>105567</v>
      </c>
      <c r="K81" s="128">
        <v>104873.85</v>
      </c>
      <c r="L81" s="128">
        <v>101284.83</v>
      </c>
      <c r="M81" s="128">
        <v>113934.58</v>
      </c>
      <c r="N81" s="128">
        <v>113934.58</v>
      </c>
      <c r="O81" s="128">
        <v>113934.58</v>
      </c>
      <c r="P81" s="128">
        <v>113934.58</v>
      </c>
      <c r="Q81" s="128">
        <v>113934.58</v>
      </c>
      <c r="R81" s="128">
        <v>111206.7</v>
      </c>
      <c r="S81" s="128">
        <v>112025.61</v>
      </c>
      <c r="T81" s="128">
        <v>108478.82</v>
      </c>
      <c r="U81" s="128">
        <f>+I81+J81+K81+L81+M81+N81+O81+P81+Q81+R81+S81+T81</f>
        <v>1328177.05</v>
      </c>
      <c r="V81" s="16">
        <f>+G81-U81</f>
        <v>301893.94999999995</v>
      </c>
      <c r="W81" s="14"/>
    </row>
    <row r="82" spans="1:27" ht="15.75" x14ac:dyDescent="0.25">
      <c r="A82" s="101"/>
      <c r="B82" s="101"/>
      <c r="C82" s="108"/>
      <c r="D82" s="101"/>
      <c r="E82" s="101"/>
      <c r="F82" s="116"/>
      <c r="G82" s="125"/>
      <c r="H82" s="125"/>
      <c r="I82" s="128">
        <v>0</v>
      </c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>
        <f>+J82+I82+K82+L82+M82+N82+O82+P82+Q82+R82</f>
        <v>0</v>
      </c>
      <c r="V82" s="16">
        <v>0</v>
      </c>
    </row>
    <row r="83" spans="1:27" ht="15.75" x14ac:dyDescent="0.25">
      <c r="A83" s="101"/>
      <c r="B83" s="101"/>
      <c r="C83" s="108"/>
      <c r="D83" s="101"/>
      <c r="E83" s="101"/>
      <c r="F83" s="116"/>
      <c r="G83" s="125"/>
      <c r="H83" s="125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6"/>
    </row>
    <row r="84" spans="1:27" ht="63.75" thickBot="1" x14ac:dyDescent="0.3">
      <c r="A84" s="101">
        <v>2</v>
      </c>
      <c r="B84" s="101">
        <v>2</v>
      </c>
      <c r="C84" s="108">
        <v>7</v>
      </c>
      <c r="D84" s="101"/>
      <c r="E84" s="109"/>
      <c r="F84" s="121" t="s">
        <v>80</v>
      </c>
      <c r="G84" s="146">
        <f>G85</f>
        <v>218000</v>
      </c>
      <c r="H84" s="146">
        <f>H85</f>
        <v>0</v>
      </c>
      <c r="I84" s="112">
        <f>SUM(I87:I91)</f>
        <v>8333</v>
      </c>
      <c r="J84" s="112">
        <f>SUM(J86:J91)</f>
        <v>24521</v>
      </c>
      <c r="K84" s="112">
        <f t="shared" ref="K84:T84" si="24">SUM(K86:K91)</f>
        <v>0</v>
      </c>
      <c r="L84" s="112">
        <f t="shared" si="24"/>
        <v>0</v>
      </c>
      <c r="M84" s="112">
        <f t="shared" si="24"/>
        <v>8474.58</v>
      </c>
      <c r="N84" s="112">
        <f t="shared" si="24"/>
        <v>600</v>
      </c>
      <c r="O84" s="112">
        <f t="shared" si="24"/>
        <v>53122</v>
      </c>
      <c r="P84" s="112">
        <f t="shared" si="24"/>
        <v>21378.299999999996</v>
      </c>
      <c r="Q84" s="112">
        <f t="shared" si="24"/>
        <v>1100</v>
      </c>
      <c r="R84" s="112">
        <f t="shared" si="24"/>
        <v>1800</v>
      </c>
      <c r="S84" s="112">
        <f t="shared" si="24"/>
        <v>600</v>
      </c>
      <c r="T84" s="112">
        <f t="shared" si="24"/>
        <v>600</v>
      </c>
      <c r="U84" s="112">
        <f>SUM(U86:U91)</f>
        <v>120528.88</v>
      </c>
      <c r="V84" s="9">
        <f t="shared" ref="V84" si="25">SUM(V86:V91)</f>
        <v>97471.12</v>
      </c>
      <c r="W84" s="7"/>
    </row>
    <row r="85" spans="1:27" ht="48" thickBot="1" x14ac:dyDescent="0.3">
      <c r="A85" s="101">
        <v>2</v>
      </c>
      <c r="B85" s="101">
        <v>2</v>
      </c>
      <c r="C85" s="108">
        <v>7</v>
      </c>
      <c r="D85" s="101">
        <v>2</v>
      </c>
      <c r="E85" s="109"/>
      <c r="F85" s="121" t="s">
        <v>81</v>
      </c>
      <c r="G85" s="130">
        <f>SUM(G87:G90)</f>
        <v>218000</v>
      </c>
      <c r="H85" s="130">
        <f>SUM(H87:H90)</f>
        <v>0</v>
      </c>
      <c r="I85" s="130">
        <f t="shared" ref="I85" si="26">SUM(I87:I90)</f>
        <v>8333</v>
      </c>
      <c r="J85" s="130">
        <f>SUM(J86:J90)</f>
        <v>24521</v>
      </c>
      <c r="K85" s="130">
        <f t="shared" ref="K85:N85" si="27">SUM(K86:K90)</f>
        <v>0</v>
      </c>
      <c r="L85" s="130">
        <f t="shared" si="27"/>
        <v>0</v>
      </c>
      <c r="M85" s="130">
        <f t="shared" si="27"/>
        <v>8474.58</v>
      </c>
      <c r="N85" s="130">
        <f t="shared" si="27"/>
        <v>600</v>
      </c>
      <c r="O85" s="130"/>
      <c r="P85" s="130"/>
      <c r="Q85" s="147"/>
      <c r="R85" s="130"/>
      <c r="S85" s="130"/>
      <c r="T85" s="130"/>
      <c r="U85" s="130">
        <f>SUM(U86:U90)</f>
        <v>120528.88</v>
      </c>
      <c r="V85" s="28">
        <f>SUM(V86:V90)</f>
        <v>97471.12</v>
      </c>
      <c r="W85" s="23"/>
    </row>
    <row r="86" spans="1:27" ht="47.25" x14ac:dyDescent="0.25">
      <c r="A86" s="101">
        <v>2</v>
      </c>
      <c r="B86" s="101">
        <v>2</v>
      </c>
      <c r="C86" s="108">
        <v>7</v>
      </c>
      <c r="D86" s="101">
        <v>1</v>
      </c>
      <c r="E86" s="137">
        <v>2</v>
      </c>
      <c r="F86" s="148" t="s">
        <v>82</v>
      </c>
      <c r="G86" s="146"/>
      <c r="H86" s="146"/>
      <c r="I86" s="146"/>
      <c r="J86" s="125">
        <v>13570</v>
      </c>
      <c r="K86" s="125"/>
      <c r="L86" s="125"/>
      <c r="M86" s="125"/>
      <c r="N86" s="125"/>
      <c r="O86" s="125"/>
      <c r="P86" s="125"/>
      <c r="Q86" s="145"/>
      <c r="R86" s="125"/>
      <c r="S86" s="125"/>
      <c r="T86" s="125"/>
      <c r="U86" s="128">
        <f>+I86+J86+K86+L86+M86:M86+N86+O86+P86+Q86+R86+S86+T86</f>
        <v>13570</v>
      </c>
      <c r="V86" s="16">
        <f>+G86-U86</f>
        <v>-13570</v>
      </c>
    </row>
    <row r="87" spans="1:27" ht="47.25" x14ac:dyDescent="0.25">
      <c r="A87" s="101">
        <v>2</v>
      </c>
      <c r="B87" s="101">
        <v>2</v>
      </c>
      <c r="C87" s="108">
        <v>7</v>
      </c>
      <c r="D87" s="101">
        <v>2</v>
      </c>
      <c r="E87" s="137">
        <v>2</v>
      </c>
      <c r="F87" s="148" t="s">
        <v>83</v>
      </c>
      <c r="G87" s="125">
        <v>18000</v>
      </c>
      <c r="H87" s="125"/>
      <c r="I87" s="128">
        <v>0</v>
      </c>
      <c r="J87" s="128">
        <f>+I87</f>
        <v>0</v>
      </c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>
        <f>+I87+J87+K87+L87+M87:M87+N87+O87+P87+Q87+R87+S87</f>
        <v>0</v>
      </c>
      <c r="V87" s="16">
        <f>+G87-U87</f>
        <v>18000</v>
      </c>
    </row>
    <row r="88" spans="1:27" ht="47.25" x14ac:dyDescent="0.25">
      <c r="A88" s="101">
        <v>2</v>
      </c>
      <c r="B88" s="101">
        <v>2</v>
      </c>
      <c r="C88" s="108">
        <v>7</v>
      </c>
      <c r="D88" s="101">
        <v>2</v>
      </c>
      <c r="E88" s="137">
        <v>3</v>
      </c>
      <c r="F88" s="148" t="s">
        <v>84</v>
      </c>
      <c r="G88" s="125"/>
      <c r="H88" s="125"/>
      <c r="I88" s="128">
        <f>G88*12</f>
        <v>0</v>
      </c>
      <c r="J88" s="128">
        <f>+I88</f>
        <v>0</v>
      </c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>
        <f>+I88+J88+K88+L88+M88:M88+N88+O88+P88+Q88+R88+S88</f>
        <v>0</v>
      </c>
      <c r="V88" s="16">
        <f>+G88-U88</f>
        <v>0</v>
      </c>
    </row>
    <row r="89" spans="1:27" ht="47.25" x14ac:dyDescent="0.25">
      <c r="A89" s="101">
        <v>2</v>
      </c>
      <c r="B89" s="101">
        <v>2</v>
      </c>
      <c r="C89" s="108">
        <v>7</v>
      </c>
      <c r="D89" s="101">
        <v>2</v>
      </c>
      <c r="E89" s="137">
        <v>4</v>
      </c>
      <c r="F89" s="148" t="s">
        <v>85</v>
      </c>
      <c r="G89" s="125">
        <v>100000</v>
      </c>
      <c r="H89" s="125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>
        <f>+I89+J89+K89+L89+M89:M89+N89+O89+P89+Q89+R89+S89</f>
        <v>0</v>
      </c>
      <c r="V89" s="16">
        <f>+G89-U89</f>
        <v>100000</v>
      </c>
    </row>
    <row r="90" spans="1:27" ht="63" x14ac:dyDescent="0.25">
      <c r="A90" s="101">
        <v>2</v>
      </c>
      <c r="B90" s="101">
        <v>2</v>
      </c>
      <c r="C90" s="108">
        <v>7</v>
      </c>
      <c r="D90" s="101">
        <v>2</v>
      </c>
      <c r="E90" s="137">
        <v>6</v>
      </c>
      <c r="F90" s="148" t="s">
        <v>86</v>
      </c>
      <c r="G90" s="125">
        <v>100000</v>
      </c>
      <c r="H90" s="125"/>
      <c r="I90" s="128">
        <v>8333</v>
      </c>
      <c r="J90" s="128">
        <v>10951</v>
      </c>
      <c r="K90" s="128"/>
      <c r="L90" s="128"/>
      <c r="M90" s="128">
        <v>8474.58</v>
      </c>
      <c r="N90" s="128">
        <v>600</v>
      </c>
      <c r="O90" s="128">
        <v>53122</v>
      </c>
      <c r="P90" s="128">
        <f>15896.81+600+600+4281.49</f>
        <v>21378.299999999996</v>
      </c>
      <c r="Q90" s="128">
        <f>600+500</f>
        <v>1100</v>
      </c>
      <c r="R90" s="128">
        <f>600+600+600</f>
        <v>1800</v>
      </c>
      <c r="S90" s="128">
        <v>600</v>
      </c>
      <c r="T90" s="128">
        <v>600</v>
      </c>
      <c r="U90" s="128">
        <f>+I90+J90+K90+L90+M90:M90+N90+O90+P90+Q90+R90+S90+T90</f>
        <v>106958.88</v>
      </c>
      <c r="V90" s="16">
        <f>+G90-U90</f>
        <v>-6958.8800000000047</v>
      </c>
      <c r="W90" s="15"/>
      <c r="Y90" s="7"/>
    </row>
    <row r="91" spans="1:27" ht="15.75" x14ac:dyDescent="0.25">
      <c r="A91" s="101"/>
      <c r="B91" s="101"/>
      <c r="C91" s="108"/>
      <c r="D91" s="101"/>
      <c r="E91" s="137"/>
      <c r="F91" s="123"/>
      <c r="G91" s="125"/>
      <c r="H91" s="125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>
        <f>+I91+J91+K91+L91+M91:M91+N91+O91+P91+Q91+R91</f>
        <v>0</v>
      </c>
      <c r="V91" s="16"/>
    </row>
    <row r="92" spans="1:27" ht="32.25" thickBot="1" x14ac:dyDescent="0.3">
      <c r="A92" s="101">
        <v>2</v>
      </c>
      <c r="B92" s="101">
        <v>2</v>
      </c>
      <c r="C92" s="108">
        <v>8</v>
      </c>
      <c r="D92" s="101"/>
      <c r="E92" s="109"/>
      <c r="F92" s="121" t="s">
        <v>87</v>
      </c>
      <c r="G92" s="146">
        <f>SUM(G93+G94)+G96+G100</f>
        <v>8958800</v>
      </c>
      <c r="H92" s="146">
        <f>SUM(H93+H94)+H96+H100</f>
        <v>4515833</v>
      </c>
      <c r="I92" s="112">
        <f t="shared" ref="I92:V92" si="28">I93+I94+I96+I100</f>
        <v>321519</v>
      </c>
      <c r="J92" s="112">
        <f>J93+J94+J96+J100</f>
        <v>363965</v>
      </c>
      <c r="K92" s="112">
        <f t="shared" si="28"/>
        <v>308489.34999999998</v>
      </c>
      <c r="L92" s="112">
        <f t="shared" si="28"/>
        <v>225908.6</v>
      </c>
      <c r="M92" s="112">
        <f t="shared" si="28"/>
        <v>227764.52</v>
      </c>
      <c r="N92" s="112">
        <f t="shared" si="28"/>
        <v>326254.43</v>
      </c>
      <c r="O92" s="112">
        <f t="shared" si="28"/>
        <v>277910.68</v>
      </c>
      <c r="P92" s="112">
        <f t="shared" si="28"/>
        <v>263414.64</v>
      </c>
      <c r="Q92" s="112">
        <f t="shared" si="28"/>
        <v>640882.34</v>
      </c>
      <c r="R92" s="112">
        <f>R93+R94+R96+R100</f>
        <v>235736.59</v>
      </c>
      <c r="S92" s="112">
        <f>S93+S94+S96+S100</f>
        <v>408029.70999999996</v>
      </c>
      <c r="T92" s="112">
        <f>T93+T94+T96+T100</f>
        <v>1842251.55</v>
      </c>
      <c r="U92" s="112">
        <f>U93+U94+U96+U100</f>
        <v>5442126.4099999992</v>
      </c>
      <c r="V92" s="9">
        <f t="shared" si="28"/>
        <v>3516673.5900000008</v>
      </c>
      <c r="W92" s="7"/>
      <c r="Z92" s="29"/>
      <c r="AA92" s="14"/>
    </row>
    <row r="93" spans="1:27" ht="31.5" x14ac:dyDescent="0.25">
      <c r="A93" s="101">
        <v>2</v>
      </c>
      <c r="B93" s="101">
        <v>2</v>
      </c>
      <c r="C93" s="108">
        <v>8</v>
      </c>
      <c r="D93" s="101">
        <v>2</v>
      </c>
      <c r="E93" s="137"/>
      <c r="F93" s="149" t="s">
        <v>88</v>
      </c>
      <c r="G93" s="124">
        <v>84000</v>
      </c>
      <c r="H93" s="124"/>
      <c r="I93" s="127">
        <v>4811</v>
      </c>
      <c r="J93" s="127">
        <v>8780</v>
      </c>
      <c r="K93" s="127">
        <v>5444.35</v>
      </c>
      <c r="L93" s="127">
        <v>4558</v>
      </c>
      <c r="M93" s="127">
        <v>5195.5200000000004</v>
      </c>
      <c r="N93" s="127">
        <v>4361.43</v>
      </c>
      <c r="O93" s="127">
        <v>4747.68</v>
      </c>
      <c r="P93" s="127">
        <v>6392.64</v>
      </c>
      <c r="Q93" s="127">
        <v>4959.34</v>
      </c>
      <c r="R93" s="127">
        <v>5250.79</v>
      </c>
      <c r="S93" s="127">
        <v>4518</v>
      </c>
      <c r="T93" s="127">
        <v>10359</v>
      </c>
      <c r="U93" s="127">
        <f>+I93+J93+K93+L93+M93+N93+O93+P93+Q93+R93+S93+T93</f>
        <v>69377.75</v>
      </c>
      <c r="V93" s="17">
        <f>+G93-U93</f>
        <v>14622.25</v>
      </c>
      <c r="W93" s="7"/>
    </row>
    <row r="94" spans="1:27" ht="31.5" x14ac:dyDescent="0.25">
      <c r="A94" s="101">
        <v>2</v>
      </c>
      <c r="B94" s="101">
        <v>2</v>
      </c>
      <c r="C94" s="108">
        <v>8</v>
      </c>
      <c r="D94" s="101">
        <v>4</v>
      </c>
      <c r="E94" s="101"/>
      <c r="F94" s="149" t="s">
        <v>89</v>
      </c>
      <c r="G94" s="125">
        <v>0</v>
      </c>
      <c r="H94" s="125"/>
      <c r="I94" s="128">
        <v>0</v>
      </c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>
        <f>+I94+J94+K94+L94+M94+N94+O94+P94+Q94+R94+S94</f>
        <v>0</v>
      </c>
      <c r="V94" s="16">
        <v>0</v>
      </c>
    </row>
    <row r="95" spans="1:27" ht="15.75" x14ac:dyDescent="0.25">
      <c r="A95" s="101"/>
      <c r="B95" s="101"/>
      <c r="C95" s="108"/>
      <c r="D95" s="101"/>
      <c r="E95" s="101"/>
      <c r="F95" s="149"/>
      <c r="G95" s="125"/>
      <c r="H95" s="125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6"/>
    </row>
    <row r="96" spans="1:27" ht="32.25" thickBot="1" x14ac:dyDescent="0.3">
      <c r="A96" s="101">
        <v>2</v>
      </c>
      <c r="B96" s="101">
        <v>2</v>
      </c>
      <c r="C96" s="108">
        <v>8</v>
      </c>
      <c r="D96" s="101">
        <v>6</v>
      </c>
      <c r="E96" s="109"/>
      <c r="F96" s="150" t="s">
        <v>90</v>
      </c>
      <c r="G96" s="146">
        <f t="shared" ref="G96:V96" si="29">G97+G98</f>
        <v>2750000</v>
      </c>
      <c r="H96" s="111">
        <f t="shared" si="29"/>
        <v>1882417</v>
      </c>
      <c r="I96" s="135">
        <f t="shared" si="29"/>
        <v>0</v>
      </c>
      <c r="J96" s="135">
        <f>J97+J98</f>
        <v>0</v>
      </c>
      <c r="K96" s="135">
        <f t="shared" si="29"/>
        <v>0</v>
      </c>
      <c r="L96" s="135">
        <f t="shared" si="29"/>
        <v>0</v>
      </c>
      <c r="M96" s="135">
        <f t="shared" si="29"/>
        <v>0</v>
      </c>
      <c r="N96" s="135">
        <f t="shared" si="29"/>
        <v>0</v>
      </c>
      <c r="O96" s="135">
        <f t="shared" si="29"/>
        <v>0</v>
      </c>
      <c r="P96" s="135">
        <f t="shared" si="29"/>
        <v>0</v>
      </c>
      <c r="Q96" s="135">
        <f t="shared" si="29"/>
        <v>0</v>
      </c>
      <c r="R96" s="135">
        <f t="shared" si="29"/>
        <v>0</v>
      </c>
      <c r="S96" s="135">
        <f t="shared" si="29"/>
        <v>0</v>
      </c>
      <c r="T96" s="135">
        <f t="shared" si="29"/>
        <v>364095.8</v>
      </c>
      <c r="U96" s="135">
        <f t="shared" si="29"/>
        <v>364095.8</v>
      </c>
      <c r="V96" s="24">
        <f t="shared" si="29"/>
        <v>2385904.2000000002</v>
      </c>
    </row>
    <row r="97" spans="1:26" ht="15.75" x14ac:dyDescent="0.25">
      <c r="A97" s="101">
        <v>2</v>
      </c>
      <c r="B97" s="101">
        <v>2</v>
      </c>
      <c r="C97" s="108">
        <v>8</v>
      </c>
      <c r="D97" s="101">
        <v>6</v>
      </c>
      <c r="E97" s="101">
        <v>1</v>
      </c>
      <c r="F97" s="149" t="s">
        <v>91</v>
      </c>
      <c r="G97" s="124">
        <f>920000+1800000</f>
        <v>2720000</v>
      </c>
      <c r="H97" s="151">
        <f>360000+1522417</f>
        <v>1882417</v>
      </c>
      <c r="I97" s="127">
        <v>0</v>
      </c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>
        <f>+I97+J97+K97+L97+M97+N97+O97+P97+Q97+R97+S97</f>
        <v>0</v>
      </c>
      <c r="V97" s="16">
        <f>+G97-U97</f>
        <v>2720000</v>
      </c>
    </row>
    <row r="98" spans="1:26" ht="15.75" x14ac:dyDescent="0.25">
      <c r="A98" s="101">
        <v>2</v>
      </c>
      <c r="B98" s="101">
        <v>2</v>
      </c>
      <c r="C98" s="108">
        <v>8</v>
      </c>
      <c r="D98" s="101">
        <v>6</v>
      </c>
      <c r="E98" s="101">
        <v>2</v>
      </c>
      <c r="F98" s="149" t="s">
        <v>92</v>
      </c>
      <c r="G98" s="125">
        <v>30000</v>
      </c>
      <c r="H98" s="125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>
        <f>10000+2000+3000+1000+1000+1000+1000+1000+1000+2000+1000+1000+1000+1000+1000+205095.8+10000+10000+10000+10000+10000+10000+10000+10000+10000+10000+10000+10000+10000+1000</f>
        <v>364095.8</v>
      </c>
      <c r="U98" s="128">
        <f>+I98+J98+K98+L98+M98+N98+O98+P98+Q98+R98+S98+T98</f>
        <v>364095.8</v>
      </c>
      <c r="V98" s="16">
        <f>+G98-U98</f>
        <v>-334095.8</v>
      </c>
      <c r="W98" s="7"/>
    </row>
    <row r="99" spans="1:26" ht="15.75" x14ac:dyDescent="0.25">
      <c r="A99" s="101"/>
      <c r="B99" s="101"/>
      <c r="C99" s="108"/>
      <c r="D99" s="101"/>
      <c r="E99" s="101"/>
      <c r="F99" s="149"/>
      <c r="G99" s="125"/>
      <c r="H99" s="125"/>
      <c r="I99" s="128">
        <v>0</v>
      </c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>
        <f>+J99</f>
        <v>0</v>
      </c>
      <c r="V99" s="16">
        <v>0</v>
      </c>
    </row>
    <row r="100" spans="1:26" ht="32.25" thickBot="1" x14ac:dyDescent="0.3">
      <c r="A100" s="101">
        <v>2</v>
      </c>
      <c r="B100" s="101">
        <v>2</v>
      </c>
      <c r="C100" s="108">
        <v>8</v>
      </c>
      <c r="D100" s="101">
        <v>7</v>
      </c>
      <c r="E100" s="109"/>
      <c r="F100" s="150" t="s">
        <v>93</v>
      </c>
      <c r="G100" s="152">
        <f t="shared" ref="G100:V100" si="30">G101+G102+G103+G104+G105</f>
        <v>6124800</v>
      </c>
      <c r="H100" s="152">
        <f t="shared" si="30"/>
        <v>2633416</v>
      </c>
      <c r="I100" s="136">
        <f t="shared" si="30"/>
        <v>316708</v>
      </c>
      <c r="J100" s="136">
        <f t="shared" si="30"/>
        <v>355185</v>
      </c>
      <c r="K100" s="136">
        <f t="shared" si="30"/>
        <v>303045</v>
      </c>
      <c r="L100" s="136">
        <f t="shared" si="30"/>
        <v>221350.6</v>
      </c>
      <c r="M100" s="136">
        <f t="shared" si="30"/>
        <v>222569</v>
      </c>
      <c r="N100" s="136">
        <f t="shared" si="30"/>
        <v>321893</v>
      </c>
      <c r="O100" s="136">
        <f t="shared" si="30"/>
        <v>273163</v>
      </c>
      <c r="P100" s="136">
        <f t="shared" si="30"/>
        <v>257022</v>
      </c>
      <c r="Q100" s="136">
        <f t="shared" si="30"/>
        <v>635923</v>
      </c>
      <c r="R100" s="136">
        <f>R101+R102+R103+R104+R105</f>
        <v>230485.8</v>
      </c>
      <c r="S100" s="136">
        <f>S101+S102+S103+S104+S105</f>
        <v>403511.70999999996</v>
      </c>
      <c r="T100" s="136">
        <f>T101+T102+T103+T104+T105</f>
        <v>1467796.75</v>
      </c>
      <c r="U100" s="136">
        <f>U101+U102+U103+U104+U105</f>
        <v>5008652.8599999994</v>
      </c>
      <c r="V100" s="9">
        <f t="shared" si="30"/>
        <v>1116147.1400000006</v>
      </c>
    </row>
    <row r="101" spans="1:26" ht="47.25" x14ac:dyDescent="0.25">
      <c r="A101" s="101">
        <v>2</v>
      </c>
      <c r="B101" s="101">
        <v>2</v>
      </c>
      <c r="C101" s="108">
        <v>8</v>
      </c>
      <c r="D101" s="101">
        <v>7</v>
      </c>
      <c r="E101" s="101">
        <v>1</v>
      </c>
      <c r="F101" s="123" t="s">
        <v>94</v>
      </c>
      <c r="G101" s="125"/>
      <c r="H101" s="125"/>
      <c r="I101" s="128">
        <v>0</v>
      </c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>
        <f>+I101+J101+K101+L101+M101+N101+O101+P101+Q101+R101+S101+T101</f>
        <v>0</v>
      </c>
      <c r="V101" s="17">
        <f>+G101-U101</f>
        <v>0</v>
      </c>
    </row>
    <row r="102" spans="1:26" ht="47.25" x14ac:dyDescent="0.25">
      <c r="A102" s="101">
        <v>2</v>
      </c>
      <c r="B102" s="101">
        <v>2</v>
      </c>
      <c r="C102" s="108">
        <v>8</v>
      </c>
      <c r="D102" s="101">
        <v>7</v>
      </c>
      <c r="E102" s="137">
        <v>3</v>
      </c>
      <c r="F102" s="123" t="s">
        <v>95</v>
      </c>
      <c r="G102" s="125">
        <v>259600</v>
      </c>
      <c r="H102" s="125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>
        <v>48000</v>
      </c>
      <c r="T102" s="128">
        <v>192000</v>
      </c>
      <c r="U102" s="128">
        <f>+I102+J102+K102+L102+M102+N102+O102+P102+Q102+R102+S102+T102</f>
        <v>240000</v>
      </c>
      <c r="V102" s="30">
        <f>+G102-U102</f>
        <v>19600</v>
      </c>
    </row>
    <row r="103" spans="1:26" ht="31.5" x14ac:dyDescent="0.25">
      <c r="A103" s="101">
        <v>2</v>
      </c>
      <c r="B103" s="101">
        <v>2</v>
      </c>
      <c r="C103" s="108">
        <v>8</v>
      </c>
      <c r="D103" s="101">
        <v>7</v>
      </c>
      <c r="E103" s="101">
        <v>4</v>
      </c>
      <c r="F103" s="123" t="s">
        <v>96</v>
      </c>
      <c r="G103" s="125">
        <v>120000</v>
      </c>
      <c r="H103" s="125"/>
      <c r="I103" s="128">
        <f>8750+6050</f>
        <v>14800</v>
      </c>
      <c r="J103" s="128">
        <v>13200</v>
      </c>
      <c r="K103" s="128"/>
      <c r="L103" s="128">
        <v>17520</v>
      </c>
      <c r="M103" s="128"/>
      <c r="N103" s="128"/>
      <c r="O103" s="128"/>
      <c r="P103" s="128">
        <v>15760</v>
      </c>
      <c r="Q103" s="128"/>
      <c r="R103" s="128"/>
      <c r="S103" s="128"/>
      <c r="T103" s="128">
        <v>15760</v>
      </c>
      <c r="U103" s="128">
        <f>+I103+J103+K103+L103+M103+N103+O103+P103+Q103+R103+S103+T103</f>
        <v>77040</v>
      </c>
      <c r="V103" s="30">
        <f>+G103-U103</f>
        <v>42960</v>
      </c>
    </row>
    <row r="104" spans="1:26" ht="47.25" x14ac:dyDescent="0.25">
      <c r="A104" s="101">
        <v>2</v>
      </c>
      <c r="B104" s="101">
        <v>2</v>
      </c>
      <c r="C104" s="108">
        <v>8</v>
      </c>
      <c r="D104" s="101">
        <v>7</v>
      </c>
      <c r="E104" s="101">
        <v>5</v>
      </c>
      <c r="F104" s="123" t="s">
        <v>97</v>
      </c>
      <c r="G104" s="125"/>
      <c r="H104" s="125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>
        <f>+I104+J104+K104+L104+M104+N104+O104+P104+Q104+R104+S104</f>
        <v>0</v>
      </c>
      <c r="V104" s="30">
        <f>+G104-U104</f>
        <v>0</v>
      </c>
    </row>
    <row r="105" spans="1:26" ht="31.5" x14ac:dyDescent="0.25">
      <c r="A105" s="101">
        <v>2</v>
      </c>
      <c r="B105" s="101">
        <v>2</v>
      </c>
      <c r="C105" s="108">
        <v>8</v>
      </c>
      <c r="D105" s="101">
        <v>7</v>
      </c>
      <c r="E105" s="101">
        <v>6</v>
      </c>
      <c r="F105" s="123" t="s">
        <v>98</v>
      </c>
      <c r="G105" s="125">
        <f>805200+4940000</f>
        <v>5745200</v>
      </c>
      <c r="H105" s="145">
        <f>860000+1015000+758416</f>
        <v>2633416</v>
      </c>
      <c r="I105" s="128">
        <f>25960+43563+207385+25000</f>
        <v>301908</v>
      </c>
      <c r="J105" s="128">
        <f>72452+10620+43563+26550+188800</f>
        <v>341985</v>
      </c>
      <c r="K105" s="138">
        <f>14750+14750+21240+129800+43563+11800+67142</f>
        <v>303045</v>
      </c>
      <c r="L105" s="128">
        <f>11800+43563+129800+18667.6</f>
        <v>203830.6</v>
      </c>
      <c r="M105" s="128">
        <f>14750+22656+129800+11800+43563</f>
        <v>222569</v>
      </c>
      <c r="N105" s="128">
        <f>29300+21240+20650+29300+129800+14750+21240+11800+43563+250</f>
        <v>321893</v>
      </c>
      <c r="O105" s="128">
        <f>88000+43563+129800+11800</f>
        <v>273163</v>
      </c>
      <c r="P105" s="128">
        <f>21299+129800+11800+43563+34800</f>
        <v>241262</v>
      </c>
      <c r="Q105" s="128">
        <f>21240+14750+414770+43563+11800+129800</f>
        <v>635923</v>
      </c>
      <c r="R105" s="128">
        <f>11800+129800+43563+21000+12390+11932.8</f>
        <v>230485.8</v>
      </c>
      <c r="S105" s="128">
        <f>15000+155348.71+11800+43563+129800</f>
        <v>355511.70999999996</v>
      </c>
      <c r="T105" s="128">
        <f>43563+129800+141600+5000+9000+11800+28379+21240+14750+288504.75+566400</f>
        <v>1260036.75</v>
      </c>
      <c r="U105" s="128">
        <f>+I105+J105+K105+L105+M105+N105+O105+P105+Q105+R105+S105+T105</f>
        <v>4691612.8599999994</v>
      </c>
      <c r="V105" s="30">
        <f>+G105-U105</f>
        <v>1053587.1400000006</v>
      </c>
      <c r="W105" s="7"/>
    </row>
    <row r="106" spans="1:26" ht="16.5" thickBot="1" x14ac:dyDescent="0.3">
      <c r="A106" s="101"/>
      <c r="B106" s="101"/>
      <c r="C106" s="108"/>
      <c r="D106" s="101"/>
      <c r="E106" s="101"/>
      <c r="F106" s="123"/>
      <c r="G106" s="129"/>
      <c r="H106" s="129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24"/>
      <c r="W106" s="7"/>
    </row>
    <row r="107" spans="1:26" ht="32.25" thickBot="1" x14ac:dyDescent="0.3">
      <c r="A107" s="101">
        <v>2</v>
      </c>
      <c r="B107" s="101">
        <v>2</v>
      </c>
      <c r="C107" s="108">
        <v>9</v>
      </c>
      <c r="D107" s="101"/>
      <c r="E107" s="101"/>
      <c r="F107" s="121" t="s">
        <v>99</v>
      </c>
      <c r="G107" s="117">
        <f>G108+G109</f>
        <v>250000</v>
      </c>
      <c r="H107" s="117">
        <f>H108+H109</f>
        <v>0</v>
      </c>
      <c r="I107" s="117">
        <f t="shared" ref="I107:V107" si="31">I108+I109</f>
        <v>27731.74</v>
      </c>
      <c r="J107" s="117">
        <f t="shared" si="31"/>
        <v>92664.349999999991</v>
      </c>
      <c r="K107" s="117">
        <f t="shared" si="31"/>
        <v>15407.999999999998</v>
      </c>
      <c r="L107" s="117">
        <f t="shared" si="31"/>
        <v>53412.26</v>
      </c>
      <c r="M107" s="117">
        <f t="shared" si="31"/>
        <v>62197</v>
      </c>
      <c r="N107" s="117">
        <f t="shared" si="31"/>
        <v>51939</v>
      </c>
      <c r="O107" s="117">
        <f t="shared" si="31"/>
        <v>113168.59999999999</v>
      </c>
      <c r="P107" s="117">
        <f t="shared" si="31"/>
        <v>47031.95</v>
      </c>
      <c r="Q107" s="117">
        <f t="shared" si="31"/>
        <v>1769.95</v>
      </c>
      <c r="R107" s="117">
        <f t="shared" si="31"/>
        <v>28646.26</v>
      </c>
      <c r="S107" s="117">
        <f t="shared" si="31"/>
        <v>1915</v>
      </c>
      <c r="T107" s="117">
        <f>T108+T109</f>
        <v>59499</v>
      </c>
      <c r="U107" s="117">
        <f>U108+U109</f>
        <v>555383.11</v>
      </c>
      <c r="V107" s="31">
        <f t="shared" si="31"/>
        <v>-305383.11</v>
      </c>
      <c r="W107" s="27"/>
      <c r="Y107" s="7"/>
    </row>
    <row r="108" spans="1:26" ht="32.25" thickBot="1" x14ac:dyDescent="0.3">
      <c r="A108" s="101">
        <v>2</v>
      </c>
      <c r="B108" s="101">
        <v>2</v>
      </c>
      <c r="C108" s="108">
        <v>9</v>
      </c>
      <c r="D108" s="101">
        <v>2</v>
      </c>
      <c r="E108" s="101"/>
      <c r="F108" s="149" t="s">
        <v>100</v>
      </c>
      <c r="G108" s="113"/>
      <c r="H108" s="11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>
        <f>+J108</f>
        <v>0</v>
      </c>
      <c r="V108" s="32">
        <f>+G108-U108</f>
        <v>0</v>
      </c>
      <c r="W108" s="7"/>
    </row>
    <row r="109" spans="1:26" ht="31.5" x14ac:dyDescent="0.25">
      <c r="A109" s="101">
        <v>2</v>
      </c>
      <c r="B109" s="101">
        <v>2</v>
      </c>
      <c r="C109" s="108">
        <v>9</v>
      </c>
      <c r="D109" s="101">
        <v>2</v>
      </c>
      <c r="E109" s="101">
        <v>1</v>
      </c>
      <c r="F109" s="123" t="s">
        <v>100</v>
      </c>
      <c r="G109" s="125">
        <v>250000</v>
      </c>
      <c r="H109" s="125"/>
      <c r="I109" s="128">
        <f>1579+24011.74+1000+741+400</f>
        <v>27731.74</v>
      </c>
      <c r="J109" s="128">
        <f>56286+25783+90+270+4500+569.95+90+5075.4</f>
        <v>92664.349999999991</v>
      </c>
      <c r="K109" s="128">
        <f>470+2015+1319.7+270+2500+5782.4+800+552+795+903.9</f>
        <v>15407.999999999998</v>
      </c>
      <c r="L109" s="128">
        <f>50563+659.51+200+200+200+764.75+100+200+300+100+125</f>
        <v>53412.26</v>
      </c>
      <c r="M109" s="128">
        <f>700+850+55932+600+4115</f>
        <v>62197</v>
      </c>
      <c r="N109" s="128">
        <f>600+50504+700+135</f>
        <v>51939</v>
      </c>
      <c r="O109" s="128">
        <f>780+100+27396.45+17623.3+62186+989.7+1114.75+600+2378.4</f>
        <v>113168.59999999999</v>
      </c>
      <c r="P109" s="128">
        <f>43247+400+1129.6+379.75+975.6+900</f>
        <v>47031.95</v>
      </c>
      <c r="Q109" s="128">
        <f>100+200+300+469.95+500+200</f>
        <v>1769.95</v>
      </c>
      <c r="R109" s="128">
        <f>3500+585+200+500+600+22623.46+637.8</f>
        <v>28646.26</v>
      </c>
      <c r="S109" s="128">
        <f>300+140+300+175+300+400+300</f>
        <v>1915</v>
      </c>
      <c r="T109" s="128">
        <f>300+350+300+300+57879+70+300</f>
        <v>59499</v>
      </c>
      <c r="U109" s="128">
        <f>+I109+J109+K109+L109+M109+N109+O109+P109+Q109+R109+S109+T109</f>
        <v>555383.11</v>
      </c>
      <c r="V109" s="16">
        <f>+G109-U109</f>
        <v>-305383.11</v>
      </c>
      <c r="W109" s="7"/>
      <c r="X109" s="7"/>
      <c r="Y109" s="7"/>
    </row>
    <row r="110" spans="1:26" ht="15.75" x14ac:dyDescent="0.25">
      <c r="A110" s="101"/>
      <c r="B110" s="101"/>
      <c r="C110" s="108"/>
      <c r="D110" s="101"/>
      <c r="E110" s="101"/>
      <c r="F110" s="123"/>
      <c r="G110" s="125"/>
      <c r="H110" s="125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6"/>
      <c r="W110" s="7"/>
    </row>
    <row r="111" spans="1:26" ht="32.25" thickBot="1" x14ac:dyDescent="0.3">
      <c r="A111" s="101">
        <v>2</v>
      </c>
      <c r="B111" s="101">
        <v>3</v>
      </c>
      <c r="C111" s="108"/>
      <c r="D111" s="101"/>
      <c r="E111" s="109"/>
      <c r="F111" s="121" t="s">
        <v>101</v>
      </c>
      <c r="G111" s="111">
        <f>G112+G116+G119+G125+G129+G137</f>
        <v>994500</v>
      </c>
      <c r="H111" s="111">
        <f>H112+H116+H119+H125+H129+H137</f>
        <v>760000</v>
      </c>
      <c r="I111" s="111">
        <f>I112+I116+I119+I125+I129+I137</f>
        <v>23445.010000000002</v>
      </c>
      <c r="J111" s="111">
        <f t="shared" ref="J111:V111" si="32">J112+J116+J119+J125+J129+J137</f>
        <v>170394.68</v>
      </c>
      <c r="K111" s="111">
        <f t="shared" si="32"/>
        <v>206026.82</v>
      </c>
      <c r="L111" s="111">
        <f t="shared" si="32"/>
        <v>45458.92</v>
      </c>
      <c r="M111" s="111">
        <f t="shared" si="32"/>
        <v>800</v>
      </c>
      <c r="N111" s="111">
        <f t="shared" si="32"/>
        <v>11650.55</v>
      </c>
      <c r="O111" s="111">
        <f t="shared" si="32"/>
        <v>226924.78</v>
      </c>
      <c r="P111" s="111">
        <f t="shared" si="32"/>
        <v>600</v>
      </c>
      <c r="Q111" s="111">
        <f t="shared" si="32"/>
        <v>9110.75</v>
      </c>
      <c r="R111" s="111">
        <f t="shared" si="32"/>
        <v>43813.600000000006</v>
      </c>
      <c r="S111" s="111">
        <f t="shared" si="32"/>
        <v>119176.3</v>
      </c>
      <c r="T111" s="111">
        <f t="shared" si="32"/>
        <v>11865.4</v>
      </c>
      <c r="U111" s="111">
        <f>U112+U116+U119+U125+U129+U137</f>
        <v>869266.81</v>
      </c>
      <c r="V111" s="6">
        <f t="shared" si="32"/>
        <v>179527.34999999998</v>
      </c>
      <c r="W111" s="7"/>
      <c r="X111" s="23"/>
      <c r="Y111" s="23"/>
      <c r="Z111" s="23"/>
    </row>
    <row r="112" spans="1:26" ht="48" thickBot="1" x14ac:dyDescent="0.3">
      <c r="A112" s="101">
        <v>2</v>
      </c>
      <c r="B112" s="101">
        <v>3</v>
      </c>
      <c r="C112" s="108">
        <v>1</v>
      </c>
      <c r="D112" s="101"/>
      <c r="E112" s="109"/>
      <c r="F112" s="154" t="s">
        <v>102</v>
      </c>
      <c r="G112" s="130">
        <f>G113</f>
        <v>0</v>
      </c>
      <c r="H112" s="130"/>
      <c r="I112" s="131">
        <f>I113</f>
        <v>0</v>
      </c>
      <c r="J112" s="131">
        <f>J113</f>
        <v>0</v>
      </c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>
        <f>U113</f>
        <v>0</v>
      </c>
      <c r="V112" s="19">
        <f>V113</f>
        <v>0</v>
      </c>
      <c r="W112" s="23"/>
    </row>
    <row r="113" spans="1:24" ht="31.5" x14ac:dyDescent="0.25">
      <c r="A113" s="101">
        <v>2</v>
      </c>
      <c r="B113" s="101">
        <v>3</v>
      </c>
      <c r="C113" s="108">
        <v>1</v>
      </c>
      <c r="D113" s="101">
        <v>1</v>
      </c>
      <c r="E113" s="109"/>
      <c r="F113" s="155" t="s">
        <v>103</v>
      </c>
      <c r="G113" s="125">
        <f>G114</f>
        <v>0</v>
      </c>
      <c r="H113" s="125"/>
      <c r="I113" s="120"/>
      <c r="J113" s="120"/>
      <c r="K113" s="78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>
        <f>+I113+J113+K113+L113+M113+N113+O113+P113+Q113+R113+S113+T113</f>
        <v>0</v>
      </c>
      <c r="V113" s="12"/>
    </row>
    <row r="114" spans="1:24" ht="12" customHeight="1" x14ac:dyDescent="0.25">
      <c r="A114" s="101">
        <v>2</v>
      </c>
      <c r="B114" s="101">
        <v>3</v>
      </c>
      <c r="C114" s="108">
        <v>1</v>
      </c>
      <c r="D114" s="101">
        <v>1</v>
      </c>
      <c r="E114" s="109">
        <v>1</v>
      </c>
      <c r="F114" s="155" t="s">
        <v>103</v>
      </c>
      <c r="G114" s="125"/>
      <c r="H114" s="125"/>
      <c r="I114" s="128">
        <v>0</v>
      </c>
      <c r="J114" s="128"/>
      <c r="K114" s="120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>
        <f>+I114+J114+K114+L114+M114+N114+O114+P114+Q114+R114+S114</f>
        <v>0</v>
      </c>
      <c r="V114" s="16">
        <v>0</v>
      </c>
    </row>
    <row r="115" spans="1:24" ht="12" customHeight="1" x14ac:dyDescent="0.25">
      <c r="A115" s="101"/>
      <c r="B115" s="101"/>
      <c r="C115" s="108"/>
      <c r="D115" s="101"/>
      <c r="E115" s="109"/>
      <c r="F115" s="154"/>
      <c r="G115" s="125"/>
      <c r="H115" s="125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6"/>
    </row>
    <row r="116" spans="1:24" ht="12" customHeight="1" thickBot="1" x14ac:dyDescent="0.3">
      <c r="A116" s="101">
        <v>2</v>
      </c>
      <c r="B116" s="101">
        <v>3</v>
      </c>
      <c r="C116" s="108">
        <v>2</v>
      </c>
      <c r="D116" s="101"/>
      <c r="E116" s="109"/>
      <c r="F116" s="154" t="s">
        <v>104</v>
      </c>
      <c r="G116" s="125"/>
      <c r="H116" s="125"/>
      <c r="I116" s="128">
        <f t="shared" ref="I116:V116" si="33">I117</f>
        <v>0</v>
      </c>
      <c r="J116" s="128">
        <f t="shared" si="33"/>
        <v>0</v>
      </c>
      <c r="K116" s="128">
        <f t="shared" si="33"/>
        <v>0</v>
      </c>
      <c r="L116" s="128">
        <f t="shared" si="33"/>
        <v>0</v>
      </c>
      <c r="M116" s="128">
        <f t="shared" si="33"/>
        <v>0</v>
      </c>
      <c r="N116" s="128">
        <f t="shared" si="33"/>
        <v>0</v>
      </c>
      <c r="O116" s="128">
        <f t="shared" si="33"/>
        <v>0</v>
      </c>
      <c r="P116" s="128">
        <f t="shared" si="33"/>
        <v>0</v>
      </c>
      <c r="Q116" s="128">
        <f t="shared" si="33"/>
        <v>0</v>
      </c>
      <c r="R116" s="128">
        <f t="shared" si="33"/>
        <v>0</v>
      </c>
      <c r="S116" s="128">
        <f t="shared" si="33"/>
        <v>0</v>
      </c>
      <c r="T116" s="128">
        <f t="shared" si="33"/>
        <v>0</v>
      </c>
      <c r="U116" s="128">
        <f t="shared" si="33"/>
        <v>0</v>
      </c>
      <c r="V116" s="16">
        <f t="shared" si="33"/>
        <v>0</v>
      </c>
      <c r="W116" s="16"/>
    </row>
    <row r="117" spans="1:24" ht="12" customHeight="1" x14ac:dyDescent="0.25">
      <c r="A117" s="101">
        <v>2</v>
      </c>
      <c r="B117" s="101">
        <v>3</v>
      </c>
      <c r="C117" s="108">
        <v>2</v>
      </c>
      <c r="D117" s="101">
        <v>3</v>
      </c>
      <c r="E117" s="109"/>
      <c r="F117" s="155" t="s">
        <v>105</v>
      </c>
      <c r="G117" s="124"/>
      <c r="H117" s="124"/>
      <c r="I117" s="127">
        <v>0</v>
      </c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>
        <f>+I117+J117+K117+L117+M117+N117+O117+P117+Q117+R117+S117+T117</f>
        <v>0</v>
      </c>
      <c r="V117" s="17">
        <v>0</v>
      </c>
    </row>
    <row r="118" spans="1:24" s="21" customFormat="1" ht="15.75" x14ac:dyDescent="0.25">
      <c r="A118" s="101"/>
      <c r="B118" s="101"/>
      <c r="C118" s="108"/>
      <c r="D118" s="101"/>
      <c r="E118" s="109"/>
      <c r="F118" s="154"/>
      <c r="G118" s="125"/>
      <c r="H118" s="125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"/>
    </row>
    <row r="119" spans="1:24" ht="32.25" thickBot="1" x14ac:dyDescent="0.3">
      <c r="A119" s="101">
        <v>2</v>
      </c>
      <c r="B119" s="133">
        <v>3</v>
      </c>
      <c r="C119" s="134">
        <v>3</v>
      </c>
      <c r="D119" s="109"/>
      <c r="E119" s="109"/>
      <c r="F119" s="121" t="s">
        <v>106</v>
      </c>
      <c r="G119" s="111">
        <f t="shared" ref="G119:V119" si="34">G120+G121+G122+G123</f>
        <v>101500</v>
      </c>
      <c r="H119" s="111">
        <f t="shared" si="34"/>
        <v>0</v>
      </c>
      <c r="I119" s="122">
        <f t="shared" si="34"/>
        <v>0</v>
      </c>
      <c r="J119" s="122">
        <f t="shared" si="34"/>
        <v>0</v>
      </c>
      <c r="K119" s="122">
        <f t="shared" si="34"/>
        <v>0</v>
      </c>
      <c r="L119" s="122">
        <f t="shared" si="34"/>
        <v>0</v>
      </c>
      <c r="M119" s="122">
        <f t="shared" si="34"/>
        <v>0</v>
      </c>
      <c r="N119" s="122">
        <f t="shared" si="34"/>
        <v>0</v>
      </c>
      <c r="O119" s="122">
        <f t="shared" si="34"/>
        <v>0</v>
      </c>
      <c r="P119" s="122">
        <f t="shared" si="34"/>
        <v>0</v>
      </c>
      <c r="Q119" s="122">
        <f t="shared" si="34"/>
        <v>0</v>
      </c>
      <c r="R119" s="122">
        <f t="shared" si="34"/>
        <v>0</v>
      </c>
      <c r="S119" s="122">
        <f t="shared" si="34"/>
        <v>0</v>
      </c>
      <c r="T119" s="122">
        <f t="shared" si="34"/>
        <v>0</v>
      </c>
      <c r="U119" s="122">
        <f t="shared" si="34"/>
        <v>0</v>
      </c>
      <c r="V119" s="13">
        <f t="shared" si="34"/>
        <v>101500</v>
      </c>
    </row>
    <row r="120" spans="1:24" ht="15.75" x14ac:dyDescent="0.25">
      <c r="A120" s="101">
        <v>2</v>
      </c>
      <c r="B120" s="101">
        <v>3</v>
      </c>
      <c r="C120" s="108">
        <v>3</v>
      </c>
      <c r="D120" s="101">
        <v>1</v>
      </c>
      <c r="E120" s="101"/>
      <c r="F120" s="149" t="s">
        <v>107</v>
      </c>
      <c r="G120" s="124">
        <v>68000</v>
      </c>
      <c r="H120" s="124"/>
      <c r="I120" s="127"/>
      <c r="J120" s="156"/>
      <c r="K120" s="127"/>
      <c r="L120" s="156"/>
      <c r="M120" s="127"/>
      <c r="N120" s="127"/>
      <c r="O120" s="127"/>
      <c r="P120" s="127"/>
      <c r="Q120" s="127"/>
      <c r="R120" s="127"/>
      <c r="S120" s="127"/>
      <c r="T120" s="127"/>
      <c r="U120" s="127">
        <f>+I120+J120+K120+L120+M120+N120+O120+P120+Q120+R120+S120+T120</f>
        <v>0</v>
      </c>
      <c r="V120" s="16">
        <f>+G120-U120</f>
        <v>68000</v>
      </c>
    </row>
    <row r="121" spans="1:24" ht="31.5" x14ac:dyDescent="0.25">
      <c r="A121" s="101">
        <v>2</v>
      </c>
      <c r="B121" s="101">
        <v>3</v>
      </c>
      <c r="C121" s="108">
        <v>3</v>
      </c>
      <c r="D121" s="101">
        <v>2</v>
      </c>
      <c r="E121" s="101"/>
      <c r="F121" s="149" t="s">
        <v>108</v>
      </c>
      <c r="G121" s="125">
        <v>23000</v>
      </c>
      <c r="H121" s="125"/>
      <c r="I121" s="128">
        <v>0</v>
      </c>
      <c r="J121" s="156"/>
      <c r="K121" s="128"/>
      <c r="L121" s="156"/>
      <c r="M121" s="128"/>
      <c r="N121" s="128"/>
      <c r="O121" s="128"/>
      <c r="P121" s="128"/>
      <c r="Q121" s="128"/>
      <c r="R121" s="128"/>
      <c r="S121" s="128"/>
      <c r="T121" s="128"/>
      <c r="U121" s="128">
        <f>+I121+J121+K121+L121+M121+N121+O121+P121+Q121+R121+S121+T121</f>
        <v>0</v>
      </c>
      <c r="V121" s="16">
        <f>+G121-U121</f>
        <v>23000</v>
      </c>
      <c r="X121" s="7"/>
    </row>
    <row r="122" spans="1:24" ht="31.5" x14ac:dyDescent="0.25">
      <c r="A122" s="101">
        <v>2</v>
      </c>
      <c r="B122" s="101">
        <v>3</v>
      </c>
      <c r="C122" s="108">
        <v>3</v>
      </c>
      <c r="D122" s="101">
        <v>3</v>
      </c>
      <c r="E122" s="101"/>
      <c r="F122" s="149" t="s">
        <v>109</v>
      </c>
      <c r="G122" s="125">
        <v>0</v>
      </c>
      <c r="H122" s="125"/>
      <c r="I122" s="128">
        <v>0</v>
      </c>
      <c r="J122" s="156"/>
      <c r="K122" s="128"/>
      <c r="L122" s="156"/>
      <c r="M122" s="128"/>
      <c r="N122" s="128"/>
      <c r="O122" s="128"/>
      <c r="P122" s="128"/>
      <c r="Q122" s="128"/>
      <c r="R122" s="128"/>
      <c r="S122" s="128"/>
      <c r="T122" s="128"/>
      <c r="U122" s="128">
        <f t="shared" ref="U122:U124" si="35">+I122+J122+K122+L122+M122+N122+O122+P122+Q122+R122+S122+T122</f>
        <v>0</v>
      </c>
      <c r="V122" s="16">
        <v>0</v>
      </c>
    </row>
    <row r="123" spans="1:24" ht="31.5" x14ac:dyDescent="0.25">
      <c r="A123" s="101">
        <v>2</v>
      </c>
      <c r="B123" s="101">
        <v>3</v>
      </c>
      <c r="C123" s="108">
        <v>3</v>
      </c>
      <c r="D123" s="101">
        <v>4</v>
      </c>
      <c r="E123" s="101"/>
      <c r="F123" s="149" t="s">
        <v>110</v>
      </c>
      <c r="G123" s="125">
        <v>10500</v>
      </c>
      <c r="H123" s="125"/>
      <c r="I123" s="128"/>
      <c r="J123" s="156"/>
      <c r="K123" s="128"/>
      <c r="L123" s="156"/>
      <c r="M123" s="128"/>
      <c r="N123" s="128"/>
      <c r="O123" s="128"/>
      <c r="P123" s="128"/>
      <c r="Q123" s="128"/>
      <c r="R123" s="128"/>
      <c r="S123" s="128"/>
      <c r="T123" s="128"/>
      <c r="U123" s="128">
        <f t="shared" si="35"/>
        <v>0</v>
      </c>
      <c r="V123" s="16">
        <f>+G123-U123</f>
        <v>10500</v>
      </c>
    </row>
    <row r="124" spans="1:24" s="35" customFormat="1" ht="16.5" thickBot="1" x14ac:dyDescent="0.3">
      <c r="A124" s="101"/>
      <c r="B124" s="101"/>
      <c r="C124" s="108"/>
      <c r="D124" s="101"/>
      <c r="E124" s="101"/>
      <c r="F124" s="149"/>
      <c r="G124" s="125"/>
      <c r="H124" s="125"/>
      <c r="I124" s="128"/>
      <c r="J124" s="156"/>
      <c r="K124" s="128"/>
      <c r="L124" s="156"/>
      <c r="M124" s="128"/>
      <c r="N124" s="128"/>
      <c r="O124" s="128"/>
      <c r="P124" s="128"/>
      <c r="Q124" s="128"/>
      <c r="R124" s="128"/>
      <c r="S124" s="128"/>
      <c r="T124" s="128"/>
      <c r="U124" s="128">
        <f t="shared" si="35"/>
        <v>0</v>
      </c>
      <c r="V124" s="16"/>
      <c r="W124" s="34"/>
    </row>
    <row r="125" spans="1:24" s="35" customFormat="1" ht="63.75" thickBot="1" x14ac:dyDescent="0.3">
      <c r="A125" s="109">
        <v>2</v>
      </c>
      <c r="B125" s="109">
        <v>3</v>
      </c>
      <c r="C125" s="157">
        <v>7</v>
      </c>
      <c r="D125" s="109"/>
      <c r="E125" s="109"/>
      <c r="F125" s="150" t="s">
        <v>111</v>
      </c>
      <c r="G125" s="111">
        <f t="shared" ref="G125:V126" si="36">G126</f>
        <v>480000</v>
      </c>
      <c r="H125" s="146">
        <f t="shared" si="36"/>
        <v>0</v>
      </c>
      <c r="I125" s="135">
        <f t="shared" si="36"/>
        <v>0</v>
      </c>
      <c r="J125" s="158">
        <f t="shared" si="36"/>
        <v>70000</v>
      </c>
      <c r="K125" s="135">
        <f t="shared" si="36"/>
        <v>0</v>
      </c>
      <c r="L125" s="158">
        <f t="shared" si="36"/>
        <v>0</v>
      </c>
      <c r="M125" s="135">
        <f t="shared" si="36"/>
        <v>0</v>
      </c>
      <c r="N125" s="135">
        <f t="shared" si="36"/>
        <v>0</v>
      </c>
      <c r="O125" s="135">
        <f t="shared" si="36"/>
        <v>70000</v>
      </c>
      <c r="P125" s="135">
        <f t="shared" si="36"/>
        <v>0</v>
      </c>
      <c r="Q125" s="135">
        <f t="shared" si="36"/>
        <v>0</v>
      </c>
      <c r="R125" s="135">
        <f t="shared" si="36"/>
        <v>0</v>
      </c>
      <c r="S125" s="135">
        <f t="shared" si="36"/>
        <v>100000</v>
      </c>
      <c r="T125" s="135">
        <f t="shared" si="36"/>
        <v>0</v>
      </c>
      <c r="U125" s="135">
        <f t="shared" si="36"/>
        <v>240000</v>
      </c>
      <c r="V125" s="20">
        <f t="shared" si="36"/>
        <v>240000</v>
      </c>
    </row>
    <row r="126" spans="1:24" s="36" customFormat="1" ht="32.25" thickBot="1" x14ac:dyDescent="0.3">
      <c r="A126" s="109">
        <v>2</v>
      </c>
      <c r="B126" s="109">
        <v>3</v>
      </c>
      <c r="C126" s="157">
        <v>7</v>
      </c>
      <c r="D126" s="109">
        <v>1</v>
      </c>
      <c r="E126" s="109"/>
      <c r="F126" s="150" t="s">
        <v>112</v>
      </c>
      <c r="G126" s="111">
        <f t="shared" si="36"/>
        <v>480000</v>
      </c>
      <c r="H126" s="130">
        <f t="shared" si="36"/>
        <v>0</v>
      </c>
      <c r="I126" s="114">
        <f t="shared" si="36"/>
        <v>0</v>
      </c>
      <c r="J126" s="159">
        <f t="shared" si="36"/>
        <v>70000</v>
      </c>
      <c r="K126" s="114">
        <f t="shared" si="36"/>
        <v>0</v>
      </c>
      <c r="L126" s="159">
        <f t="shared" si="36"/>
        <v>0</v>
      </c>
      <c r="M126" s="114">
        <f t="shared" si="36"/>
        <v>0</v>
      </c>
      <c r="N126" s="114">
        <f t="shared" si="36"/>
        <v>0</v>
      </c>
      <c r="O126" s="114">
        <f>O127</f>
        <v>70000</v>
      </c>
      <c r="P126" s="114">
        <f>P127</f>
        <v>0</v>
      </c>
      <c r="Q126" s="114">
        <f>Q127</f>
        <v>0</v>
      </c>
      <c r="R126" s="114">
        <f>R127</f>
        <v>0</v>
      </c>
      <c r="S126" s="114">
        <f>S127</f>
        <v>100000</v>
      </c>
      <c r="T126" s="114"/>
      <c r="U126" s="114">
        <f t="shared" si="36"/>
        <v>240000</v>
      </c>
      <c r="V126" s="20">
        <f>V127</f>
        <v>240000</v>
      </c>
    </row>
    <row r="127" spans="1:24" ht="15.75" x14ac:dyDescent="0.25">
      <c r="A127" s="137">
        <v>2</v>
      </c>
      <c r="B127" s="137">
        <v>3</v>
      </c>
      <c r="C127" s="160">
        <v>7</v>
      </c>
      <c r="D127" s="137">
        <v>1</v>
      </c>
      <c r="E127" s="137">
        <v>1</v>
      </c>
      <c r="F127" s="123" t="s">
        <v>113</v>
      </c>
      <c r="G127" s="125">
        <v>480000</v>
      </c>
      <c r="H127" s="124"/>
      <c r="I127" s="127"/>
      <c r="J127" s="161">
        <v>70000</v>
      </c>
      <c r="K127" s="127"/>
      <c r="L127" s="162"/>
      <c r="M127" s="127"/>
      <c r="N127" s="127"/>
      <c r="O127" s="127">
        <v>70000</v>
      </c>
      <c r="P127" s="127"/>
      <c r="Q127" s="127"/>
      <c r="R127" s="127"/>
      <c r="S127" s="127">
        <v>100000</v>
      </c>
      <c r="T127" s="127"/>
      <c r="U127" s="127">
        <f>+I127+J127+K127+L127+M127+N127+O127+P127+Q127+R127+S127+T127</f>
        <v>240000</v>
      </c>
      <c r="V127" s="17">
        <f>+G127-U127</f>
        <v>240000</v>
      </c>
      <c r="W127" s="7"/>
    </row>
    <row r="128" spans="1:24" ht="15.75" x14ac:dyDescent="0.25">
      <c r="A128" s="101"/>
      <c r="B128" s="101"/>
      <c r="C128" s="108"/>
      <c r="D128" s="101"/>
      <c r="E128" s="101"/>
      <c r="F128" s="123"/>
      <c r="G128" s="125"/>
      <c r="H128" s="125"/>
      <c r="I128" s="128"/>
      <c r="J128" s="139"/>
      <c r="K128" s="128"/>
      <c r="L128" s="156"/>
      <c r="M128" s="128"/>
      <c r="N128" s="128"/>
      <c r="O128" s="128"/>
      <c r="P128" s="128"/>
      <c r="Q128" s="128"/>
      <c r="R128" s="128"/>
      <c r="S128" s="128"/>
      <c r="T128" s="128"/>
      <c r="U128" s="128"/>
      <c r="V128" s="16"/>
    </row>
    <row r="129" spans="1:25" ht="32.25" thickBot="1" x14ac:dyDescent="0.3">
      <c r="A129" s="101">
        <v>2</v>
      </c>
      <c r="B129" s="101">
        <v>3</v>
      </c>
      <c r="C129" s="108">
        <v>9</v>
      </c>
      <c r="D129" s="101"/>
      <c r="E129" s="109"/>
      <c r="F129" s="121" t="s">
        <v>114</v>
      </c>
      <c r="G129" s="152">
        <f>SUM(G130:G134)</f>
        <v>413000</v>
      </c>
      <c r="H129" s="111"/>
      <c r="I129" s="122">
        <f>I130+I131+I132+I133+I134+I135</f>
        <v>23445.010000000002</v>
      </c>
      <c r="J129" s="163">
        <f t="shared" ref="J129:V129" si="37">J130+J131+J132+J133+J134+J135</f>
        <v>100394.68</v>
      </c>
      <c r="K129" s="122">
        <f t="shared" si="37"/>
        <v>206026.82</v>
      </c>
      <c r="L129" s="164">
        <f t="shared" si="37"/>
        <v>29976.03</v>
      </c>
      <c r="M129" s="122">
        <f t="shared" si="37"/>
        <v>800</v>
      </c>
      <c r="N129" s="122">
        <f t="shared" si="37"/>
        <v>11650.55</v>
      </c>
      <c r="O129" s="122">
        <f t="shared" si="37"/>
        <v>120200.81999999999</v>
      </c>
      <c r="P129" s="122">
        <f t="shared" si="37"/>
        <v>600</v>
      </c>
      <c r="Q129" s="122">
        <f t="shared" si="37"/>
        <v>9110.75</v>
      </c>
      <c r="R129" s="122">
        <f t="shared" si="37"/>
        <v>26243.4</v>
      </c>
      <c r="S129" s="122">
        <f t="shared" si="37"/>
        <v>19176.3</v>
      </c>
      <c r="T129" s="122">
        <f t="shared" si="37"/>
        <v>11865.4</v>
      </c>
      <c r="U129" s="122">
        <f>U130+U131+U132+U133+U134+U135</f>
        <v>559489.76</v>
      </c>
      <c r="V129" s="13">
        <f t="shared" si="37"/>
        <v>-146489.76</v>
      </c>
      <c r="W129" s="8"/>
      <c r="X129" s="7"/>
      <c r="Y129" s="7"/>
    </row>
    <row r="130" spans="1:25" ht="15.75" x14ac:dyDescent="0.25">
      <c r="A130" s="101">
        <v>2</v>
      </c>
      <c r="B130" s="101">
        <v>3</v>
      </c>
      <c r="C130" s="108">
        <v>9</v>
      </c>
      <c r="D130" s="101">
        <v>1</v>
      </c>
      <c r="E130" s="101"/>
      <c r="F130" s="123" t="s">
        <v>115</v>
      </c>
      <c r="G130" s="124">
        <v>8000</v>
      </c>
      <c r="H130" s="125"/>
      <c r="I130" s="128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28">
        <f>+I130+J130+K130+L130+M130+N130+O130+P130+Q130+R130+S130+T130</f>
        <v>0</v>
      </c>
      <c r="V130" s="16">
        <f>+G130-U130</f>
        <v>8000</v>
      </c>
      <c r="W130" s="7"/>
    </row>
    <row r="131" spans="1:25" ht="47.25" x14ac:dyDescent="0.25">
      <c r="A131" s="101">
        <v>2</v>
      </c>
      <c r="B131" s="101">
        <v>3</v>
      </c>
      <c r="C131" s="108">
        <v>9</v>
      </c>
      <c r="D131" s="101">
        <v>2</v>
      </c>
      <c r="E131" s="101"/>
      <c r="F131" s="123" t="s">
        <v>116</v>
      </c>
      <c r="G131" s="125">
        <v>150000</v>
      </c>
      <c r="H131" s="125"/>
      <c r="I131" s="128">
        <f>1820+3150</f>
        <v>4970</v>
      </c>
      <c r="J131" s="128">
        <f>177+140+140+21661.68+74930</f>
        <v>97048.68</v>
      </c>
      <c r="K131" s="139">
        <f>198000+306.8+4576.32</f>
        <v>202883.12</v>
      </c>
      <c r="L131" s="139">
        <v>3406.8</v>
      </c>
      <c r="M131" s="139"/>
      <c r="N131" s="139">
        <f>5400+2211.6</f>
        <v>7611.6</v>
      </c>
      <c r="O131" s="139">
        <f>28033.37+32568</f>
        <v>60601.369999999995</v>
      </c>
      <c r="P131" s="165"/>
      <c r="Q131" s="139"/>
      <c r="R131" s="139"/>
      <c r="S131" s="139">
        <v>15531.3</v>
      </c>
      <c r="T131" s="139">
        <f>450+3221.4</f>
        <v>3671.4</v>
      </c>
      <c r="U131" s="138">
        <f>+I131+J131+K1+H13131+L131+M131+N131+O131+P131+Q131+R131+S131+T131+K131+H131</f>
        <v>395724.27</v>
      </c>
      <c r="V131" s="16">
        <f>+G131-U131</f>
        <v>-245724.27000000002</v>
      </c>
      <c r="W131" s="37"/>
      <c r="X131" s="7"/>
      <c r="Y131" s="7"/>
    </row>
    <row r="132" spans="1:25" ht="31.5" x14ac:dyDescent="0.25">
      <c r="A132" s="101">
        <v>2</v>
      </c>
      <c r="B132" s="137">
        <v>3</v>
      </c>
      <c r="C132" s="137">
        <v>9</v>
      </c>
      <c r="D132" s="101">
        <v>5</v>
      </c>
      <c r="E132" s="101"/>
      <c r="F132" s="166" t="s">
        <v>117</v>
      </c>
      <c r="G132" s="125">
        <v>10000</v>
      </c>
      <c r="H132" s="125"/>
      <c r="I132" s="128">
        <f>14074+763.01</f>
        <v>14837.01</v>
      </c>
      <c r="J132" s="128">
        <v>2746</v>
      </c>
      <c r="K132" s="139">
        <f>258.95+1439.15+687.85+289.9</f>
        <v>2675.8500000000004</v>
      </c>
      <c r="L132" s="139">
        <f>25785.2+100+415.03+169</f>
        <v>26469.23</v>
      </c>
      <c r="M132" s="139"/>
      <c r="N132" s="139"/>
      <c r="O132" s="139">
        <v>16531.45</v>
      </c>
      <c r="P132" s="165"/>
      <c r="Q132" s="139">
        <f>258.95+2096.95</f>
        <v>2355.8999999999996</v>
      </c>
      <c r="R132" s="139">
        <f>21196.7+517.9</f>
        <v>21714.600000000002</v>
      </c>
      <c r="S132" s="139"/>
      <c r="T132" s="139">
        <v>750</v>
      </c>
      <c r="U132" s="138">
        <f>+I132+J132+K132+L132+M132+N132+O132+P132+Q132+R132+S132+T132</f>
        <v>88080.04</v>
      </c>
      <c r="V132" s="16">
        <f>+G132-U132</f>
        <v>-78080.039999999994</v>
      </c>
      <c r="W132" s="38"/>
      <c r="X132" s="7"/>
      <c r="Y132" s="7"/>
    </row>
    <row r="133" spans="1:25" ht="31.5" x14ac:dyDescent="0.25">
      <c r="A133" s="101">
        <v>2</v>
      </c>
      <c r="B133" s="101">
        <v>3</v>
      </c>
      <c r="C133" s="108">
        <v>9</v>
      </c>
      <c r="D133" s="101">
        <v>8</v>
      </c>
      <c r="E133" s="101"/>
      <c r="F133" s="155" t="s">
        <v>118</v>
      </c>
      <c r="G133" s="125">
        <v>20000</v>
      </c>
      <c r="H133" s="125"/>
      <c r="I133" s="128"/>
      <c r="J133" s="128"/>
      <c r="K133" s="139"/>
      <c r="L133" s="139"/>
      <c r="M133" s="139"/>
      <c r="N133" s="139"/>
      <c r="O133" s="139">
        <v>42668</v>
      </c>
      <c r="P133" s="165"/>
      <c r="Q133" s="165"/>
      <c r="R133" s="165"/>
      <c r="S133" s="165"/>
      <c r="T133" s="165"/>
      <c r="U133" s="138">
        <f>+I133+J133+K133+L133+M133+N133+O133+P133+Q133+R133+S133+T133</f>
        <v>42668</v>
      </c>
      <c r="V133" s="16">
        <f>+G133-U133</f>
        <v>-22668</v>
      </c>
      <c r="W133" s="37"/>
      <c r="Y133" s="7"/>
    </row>
    <row r="134" spans="1:25" ht="31.5" x14ac:dyDescent="0.25">
      <c r="A134" s="101">
        <v>2</v>
      </c>
      <c r="B134" s="101">
        <v>3</v>
      </c>
      <c r="C134" s="108">
        <v>9</v>
      </c>
      <c r="D134" s="101">
        <v>9</v>
      </c>
      <c r="E134" s="101"/>
      <c r="F134" s="155" t="s">
        <v>119</v>
      </c>
      <c r="G134" s="125">
        <v>225000</v>
      </c>
      <c r="H134" s="125"/>
      <c r="I134" s="128">
        <v>3638</v>
      </c>
      <c r="J134" s="128">
        <v>600</v>
      </c>
      <c r="K134" s="139">
        <v>467.85</v>
      </c>
      <c r="L134" s="139">
        <v>100</v>
      </c>
      <c r="M134" s="139">
        <v>800</v>
      </c>
      <c r="N134" s="139">
        <f>985+579.95+1685+789</f>
        <v>4038.95</v>
      </c>
      <c r="O134" s="139">
        <f>300+100</f>
        <v>400</v>
      </c>
      <c r="P134" s="165">
        <v>600</v>
      </c>
      <c r="Q134" s="139">
        <f>1830+395+399.95+3979.9+50+100</f>
        <v>6754.85</v>
      </c>
      <c r="R134" s="139">
        <f>396+373.9+2800+888.9+70</f>
        <v>4528.8</v>
      </c>
      <c r="S134" s="139">
        <f>50+995+2600</f>
        <v>3645</v>
      </c>
      <c r="T134" s="139">
        <f>6844+600</f>
        <v>7444</v>
      </c>
      <c r="U134" s="138">
        <f>+I134+J134+K134+L134+M134+N134+O134+P134+Q134+R134+S134+T134</f>
        <v>33017.449999999997</v>
      </c>
      <c r="V134" s="16">
        <f>+G134-U134</f>
        <v>191982.55</v>
      </c>
      <c r="W134" s="7"/>
      <c r="X134" s="23"/>
      <c r="Y134" s="7"/>
    </row>
    <row r="135" spans="1:25" ht="15.75" x14ac:dyDescent="0.25">
      <c r="A135" s="101">
        <v>2</v>
      </c>
      <c r="B135" s="101">
        <v>3</v>
      </c>
      <c r="C135" s="108">
        <v>9</v>
      </c>
      <c r="D135" s="101">
        <v>9</v>
      </c>
      <c r="E135" s="101">
        <v>2</v>
      </c>
      <c r="F135" s="155" t="s">
        <v>120</v>
      </c>
      <c r="G135" s="125"/>
      <c r="H135" s="125"/>
      <c r="I135" s="128">
        <v>0</v>
      </c>
      <c r="J135" s="128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8">
        <f>+I135+J135+K135+L135+M135+N135+O135+P135+Q135+R135</f>
        <v>0</v>
      </c>
      <c r="V135" s="16">
        <v>0</v>
      </c>
      <c r="W135" s="7"/>
    </row>
    <row r="136" spans="1:25" ht="15.75" x14ac:dyDescent="0.25">
      <c r="A136" s="101"/>
      <c r="B136" s="101"/>
      <c r="C136" s="108"/>
      <c r="D136" s="101"/>
      <c r="E136" s="101"/>
      <c r="F136" s="123"/>
      <c r="G136" s="125"/>
      <c r="H136" s="125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38">
        <f>+I136+J136+K136+L136+M136+N136+O136+P136+Q136+R136</f>
        <v>0</v>
      </c>
      <c r="V136" s="16"/>
      <c r="W136" s="7"/>
    </row>
    <row r="137" spans="1:25" ht="48" thickBot="1" x14ac:dyDescent="0.3">
      <c r="A137" s="101">
        <v>2</v>
      </c>
      <c r="B137" s="101">
        <v>6</v>
      </c>
      <c r="C137" s="108"/>
      <c r="D137" s="101"/>
      <c r="E137" s="109"/>
      <c r="F137" s="121" t="s">
        <v>121</v>
      </c>
      <c r="G137" s="112">
        <f>G138+G146+G150</f>
        <v>0</v>
      </c>
      <c r="H137" s="112">
        <f>H138+H146+H150</f>
        <v>760000</v>
      </c>
      <c r="I137" s="112">
        <f t="shared" ref="I137:T137" si="38">I138+I146+I150</f>
        <v>0</v>
      </c>
      <c r="J137" s="112">
        <f t="shared" si="38"/>
        <v>0</v>
      </c>
      <c r="K137" s="112">
        <f t="shared" si="38"/>
        <v>0</v>
      </c>
      <c r="L137" s="112">
        <f>L138+L146+L150</f>
        <v>15482.89</v>
      </c>
      <c r="M137" s="112">
        <f t="shared" si="38"/>
        <v>0</v>
      </c>
      <c r="N137" s="112">
        <f t="shared" si="38"/>
        <v>0</v>
      </c>
      <c r="O137" s="112">
        <f t="shared" si="38"/>
        <v>36723.96</v>
      </c>
      <c r="P137" s="112">
        <f t="shared" si="38"/>
        <v>0</v>
      </c>
      <c r="Q137" s="112">
        <f t="shared" si="38"/>
        <v>0</v>
      </c>
      <c r="R137" s="112">
        <f t="shared" si="38"/>
        <v>17570.2</v>
      </c>
      <c r="S137" s="112">
        <f t="shared" si="38"/>
        <v>0</v>
      </c>
      <c r="T137" s="112">
        <f t="shared" si="38"/>
        <v>0</v>
      </c>
      <c r="U137" s="112">
        <f>U138+U146+U150</f>
        <v>69777.049999999988</v>
      </c>
      <c r="V137" s="9">
        <f t="shared" ref="V137" si="39">V138+V146+V150+V139</f>
        <v>-15482.89</v>
      </c>
      <c r="W137" s="29"/>
      <c r="Y137" s="7"/>
    </row>
    <row r="138" spans="1:25" ht="16.5" thickBot="1" x14ac:dyDescent="0.3">
      <c r="A138" s="101">
        <v>2</v>
      </c>
      <c r="B138" s="101">
        <v>6</v>
      </c>
      <c r="C138" s="108">
        <v>1</v>
      </c>
      <c r="D138" s="101"/>
      <c r="E138" s="137"/>
      <c r="F138" s="150" t="s">
        <v>122</v>
      </c>
      <c r="G138" s="113">
        <f>G140+G141+G142+G144+G145</f>
        <v>0</v>
      </c>
      <c r="H138" s="113">
        <f>+H139+H140+H141+H142+H143+H144</f>
        <v>760000</v>
      </c>
      <c r="I138" s="113">
        <f t="shared" ref="I138:R138" si="40">+I139+I140+I141+I142+I143+I144</f>
        <v>0</v>
      </c>
      <c r="J138" s="113">
        <f t="shared" si="40"/>
        <v>0</v>
      </c>
      <c r="K138" s="113">
        <f t="shared" si="40"/>
        <v>0</v>
      </c>
      <c r="L138" s="113">
        <f t="shared" si="40"/>
        <v>15482.89</v>
      </c>
      <c r="M138" s="113">
        <f t="shared" si="40"/>
        <v>0</v>
      </c>
      <c r="N138" s="113">
        <f t="shared" si="40"/>
        <v>0</v>
      </c>
      <c r="O138" s="113">
        <f t="shared" si="40"/>
        <v>36723.96</v>
      </c>
      <c r="P138" s="113">
        <f t="shared" si="40"/>
        <v>0</v>
      </c>
      <c r="Q138" s="113">
        <f t="shared" si="40"/>
        <v>0</v>
      </c>
      <c r="R138" s="113">
        <f t="shared" si="40"/>
        <v>17570.2</v>
      </c>
      <c r="S138" s="113"/>
      <c r="T138" s="113"/>
      <c r="U138" s="113">
        <f>+U139+U140+U141+U142+U143+U144</f>
        <v>69777.049999999988</v>
      </c>
      <c r="V138" s="10">
        <f t="shared" ref="I138:V139" si="41">V140+V141+V142+V144+V145</f>
        <v>0</v>
      </c>
      <c r="W138" s="29"/>
      <c r="X138" s="29"/>
    </row>
    <row r="139" spans="1:25" ht="16.5" thickBot="1" x14ac:dyDescent="0.3">
      <c r="A139" s="101">
        <v>2</v>
      </c>
      <c r="B139" s="101">
        <v>6</v>
      </c>
      <c r="C139" s="108">
        <v>8</v>
      </c>
      <c r="D139" s="101">
        <v>8</v>
      </c>
      <c r="E139" s="137"/>
      <c r="F139" s="167" t="s">
        <v>123</v>
      </c>
      <c r="G139" s="125">
        <f>G141+G142+G143+G145+G146</f>
        <v>0</v>
      </c>
      <c r="H139" s="145">
        <v>760000</v>
      </c>
      <c r="I139" s="125">
        <f t="shared" si="41"/>
        <v>0</v>
      </c>
      <c r="J139" s="125">
        <f t="shared" si="41"/>
        <v>0</v>
      </c>
      <c r="K139" s="168"/>
      <c r="L139" s="151">
        <v>15482.89</v>
      </c>
      <c r="M139" s="145"/>
      <c r="N139" s="145"/>
      <c r="O139" s="145"/>
      <c r="P139" s="145"/>
      <c r="Q139" s="145"/>
      <c r="R139" s="145"/>
      <c r="S139" s="145"/>
      <c r="T139" s="145"/>
      <c r="U139" s="145">
        <f>+I139+J139+K139+L139+M139+N139+O139+P139+Q139+R139+S139+T139</f>
        <v>15482.89</v>
      </c>
      <c r="V139" s="10">
        <f>+G139-U139</f>
        <v>-15482.89</v>
      </c>
      <c r="W139" s="39"/>
      <c r="X139" s="29"/>
    </row>
    <row r="140" spans="1:25" ht="31.5" x14ac:dyDescent="0.25">
      <c r="A140" s="101">
        <v>2</v>
      </c>
      <c r="B140" s="101">
        <v>6</v>
      </c>
      <c r="C140" s="108">
        <v>1</v>
      </c>
      <c r="D140" s="101">
        <v>1</v>
      </c>
      <c r="E140" s="137"/>
      <c r="F140" s="149" t="s">
        <v>124</v>
      </c>
      <c r="G140" s="125"/>
      <c r="H140" s="125"/>
      <c r="I140" s="128"/>
      <c r="J140" s="128"/>
      <c r="K140" s="139"/>
      <c r="L140" s="128"/>
      <c r="M140" s="128"/>
      <c r="N140" s="128"/>
      <c r="O140" s="128"/>
      <c r="P140" s="128"/>
      <c r="Q140" s="128"/>
      <c r="R140" s="128">
        <f>7965+9605.2</f>
        <v>17570.2</v>
      </c>
      <c r="S140" s="128"/>
      <c r="T140" s="128"/>
      <c r="U140" s="128">
        <f>+I140+J140+K140+L140+M140+N140+O140+P140+Q140+R140+S140</f>
        <v>17570.2</v>
      </c>
      <c r="V140" s="17"/>
      <c r="W140" s="40"/>
      <c r="X140" s="29"/>
      <c r="Y140" s="7"/>
    </row>
    <row r="141" spans="1:25" ht="15.75" x14ac:dyDescent="0.25">
      <c r="A141" s="101">
        <v>2</v>
      </c>
      <c r="B141" s="101">
        <v>6</v>
      </c>
      <c r="C141" s="108">
        <v>1</v>
      </c>
      <c r="D141" s="101">
        <v>4</v>
      </c>
      <c r="E141" s="137"/>
      <c r="F141" s="149" t="s">
        <v>125</v>
      </c>
      <c r="G141" s="125"/>
      <c r="H141" s="125"/>
      <c r="I141" s="128"/>
      <c r="J141" s="128"/>
      <c r="K141" s="139"/>
      <c r="L141" s="128"/>
      <c r="M141" s="128"/>
      <c r="N141" s="128"/>
      <c r="O141" s="128">
        <v>36723.96</v>
      </c>
      <c r="P141" s="128"/>
      <c r="Q141" s="128"/>
      <c r="R141" s="128"/>
      <c r="S141" s="128"/>
      <c r="T141" s="128"/>
      <c r="U141" s="128">
        <f>+I141+J141+K141+L141+M141+N141+O141+P141+Q141+R141+S141+T141</f>
        <v>36723.96</v>
      </c>
      <c r="V141" s="16"/>
      <c r="W141" s="29"/>
      <c r="X141" s="29"/>
    </row>
    <row r="142" spans="1:25" ht="15.75" x14ac:dyDescent="0.25">
      <c r="A142" s="101">
        <v>2</v>
      </c>
      <c r="B142" s="101">
        <v>6</v>
      </c>
      <c r="C142" s="108">
        <v>1</v>
      </c>
      <c r="D142" s="101">
        <v>7</v>
      </c>
      <c r="E142" s="137"/>
      <c r="F142" s="149" t="s">
        <v>126</v>
      </c>
      <c r="G142" s="125"/>
      <c r="H142" s="125"/>
      <c r="I142" s="128">
        <v>0</v>
      </c>
      <c r="J142" s="128"/>
      <c r="K142" s="139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>
        <f>+I142+J142+K142+L142+M142+N142+O142+P142+Q142+R142+S142</f>
        <v>0</v>
      </c>
      <c r="V142" s="16">
        <v>0</v>
      </c>
      <c r="W142" s="29"/>
      <c r="X142" s="29"/>
    </row>
    <row r="143" spans="1:25" ht="15.75" x14ac:dyDescent="0.25">
      <c r="A143" s="101">
        <v>2</v>
      </c>
      <c r="B143" s="101">
        <v>6</v>
      </c>
      <c r="C143" s="108">
        <v>1</v>
      </c>
      <c r="D143" s="101">
        <v>8</v>
      </c>
      <c r="E143" s="137"/>
      <c r="F143" s="149" t="s">
        <v>127</v>
      </c>
      <c r="G143" s="125"/>
      <c r="H143" s="125"/>
      <c r="I143" s="128"/>
      <c r="J143" s="128"/>
      <c r="K143" s="139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>
        <f>+I143+J143+K143+L143+M143+N143+O143+P143+Q143+R143+S143</f>
        <v>0</v>
      </c>
      <c r="V143" s="16"/>
      <c r="W143" s="29"/>
      <c r="X143" s="29"/>
    </row>
    <row r="144" spans="1:25" ht="47.25" x14ac:dyDescent="0.25">
      <c r="A144" s="101">
        <v>2</v>
      </c>
      <c r="B144" s="101">
        <v>6</v>
      </c>
      <c r="C144" s="108">
        <v>1</v>
      </c>
      <c r="D144" s="101">
        <v>9</v>
      </c>
      <c r="E144" s="137"/>
      <c r="F144" s="149" t="s">
        <v>128</v>
      </c>
      <c r="G144" s="125"/>
      <c r="H144" s="125"/>
      <c r="I144" s="128"/>
      <c r="J144" s="128"/>
      <c r="K144" s="139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>
        <f>+I144+J144+K144+L144+M144+N144+O144+P144+Q144+R144+S144</f>
        <v>0</v>
      </c>
      <c r="V144" s="16"/>
      <c r="W144" s="7"/>
      <c r="Y144" s="7"/>
    </row>
    <row r="145" spans="1:45" ht="15.75" x14ac:dyDescent="0.25">
      <c r="A145" s="101"/>
      <c r="B145" s="101"/>
      <c r="C145" s="108"/>
      <c r="D145" s="101"/>
      <c r="E145" s="109"/>
      <c r="F145" s="150"/>
      <c r="G145" s="146"/>
      <c r="H145" s="146"/>
      <c r="I145" s="112"/>
      <c r="J145" s="112"/>
      <c r="K145" s="169"/>
      <c r="L145" s="112"/>
      <c r="M145" s="112"/>
      <c r="N145" s="112"/>
      <c r="O145" s="112"/>
      <c r="P145" s="112"/>
      <c r="Q145" s="112"/>
      <c r="R145" s="112"/>
      <c r="S145" s="112"/>
      <c r="T145" s="112"/>
      <c r="U145" s="128">
        <f>+I145+J145+K145+L145+M145+N145+O145+P145+Q145+R145+S145</f>
        <v>0</v>
      </c>
      <c r="V145" s="9">
        <f>+G145</f>
        <v>0</v>
      </c>
    </row>
    <row r="146" spans="1:45" ht="48" thickBot="1" x14ac:dyDescent="0.3">
      <c r="A146" s="101">
        <v>2</v>
      </c>
      <c r="B146" s="101">
        <v>6</v>
      </c>
      <c r="C146" s="108">
        <v>2</v>
      </c>
      <c r="D146" s="101"/>
      <c r="E146" s="109"/>
      <c r="F146" s="150" t="s">
        <v>129</v>
      </c>
      <c r="G146" s="111">
        <f t="shared" ref="G146:V146" si="42">G147+G148</f>
        <v>0</v>
      </c>
      <c r="H146" s="111">
        <f t="shared" si="42"/>
        <v>0</v>
      </c>
      <c r="I146" s="135">
        <f t="shared" si="42"/>
        <v>0</v>
      </c>
      <c r="J146" s="135">
        <f t="shared" si="42"/>
        <v>0</v>
      </c>
      <c r="K146" s="170">
        <f t="shared" si="42"/>
        <v>0</v>
      </c>
      <c r="L146" s="135">
        <f t="shared" si="42"/>
        <v>0</v>
      </c>
      <c r="M146" s="135">
        <f t="shared" si="42"/>
        <v>0</v>
      </c>
      <c r="N146" s="135">
        <f t="shared" si="42"/>
        <v>0</v>
      </c>
      <c r="O146" s="135">
        <f t="shared" si="42"/>
        <v>0</v>
      </c>
      <c r="P146" s="135">
        <f t="shared" si="42"/>
        <v>0</v>
      </c>
      <c r="Q146" s="135">
        <f t="shared" si="42"/>
        <v>0</v>
      </c>
      <c r="R146" s="135">
        <f t="shared" si="42"/>
        <v>0</v>
      </c>
      <c r="S146" s="135">
        <f t="shared" si="42"/>
        <v>0</v>
      </c>
      <c r="T146" s="135">
        <f t="shared" si="42"/>
        <v>0</v>
      </c>
      <c r="U146" s="135">
        <f t="shared" si="42"/>
        <v>0</v>
      </c>
      <c r="V146" s="24">
        <f t="shared" si="42"/>
        <v>0</v>
      </c>
      <c r="W146" s="16"/>
    </row>
    <row r="147" spans="1:45" ht="31.5" x14ac:dyDescent="0.25">
      <c r="A147" s="101">
        <v>2</v>
      </c>
      <c r="B147" s="101">
        <v>6</v>
      </c>
      <c r="C147" s="108">
        <v>2</v>
      </c>
      <c r="D147" s="101">
        <v>1</v>
      </c>
      <c r="E147" s="137"/>
      <c r="F147" s="123" t="s">
        <v>130</v>
      </c>
      <c r="G147" s="125"/>
      <c r="H147" s="125"/>
      <c r="I147" s="128">
        <v>0</v>
      </c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>
        <f>+I147+J147+K147+L147+M147+N147+O147+P147+Q147+R147+S147</f>
        <v>0</v>
      </c>
      <c r="V147" s="16">
        <v>0</v>
      </c>
    </row>
    <row r="148" spans="1:45" ht="31.5" x14ac:dyDescent="0.25">
      <c r="A148" s="101">
        <v>2</v>
      </c>
      <c r="B148" s="101">
        <v>6</v>
      </c>
      <c r="C148" s="108">
        <v>2</v>
      </c>
      <c r="D148" s="101">
        <v>3</v>
      </c>
      <c r="E148" s="137"/>
      <c r="F148" s="123" t="s">
        <v>131</v>
      </c>
      <c r="G148" s="125"/>
      <c r="H148" s="125"/>
      <c r="I148" s="128">
        <f>G148*12</f>
        <v>0</v>
      </c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>
        <f>+I148+J148+K148+L148+M148+N148+O148+P148+Q148+R148+S148</f>
        <v>0</v>
      </c>
      <c r="V148" s="16">
        <f>+G148-U148</f>
        <v>0</v>
      </c>
    </row>
    <row r="149" spans="1:45" ht="15.75" x14ac:dyDescent="0.25">
      <c r="A149" s="101"/>
      <c r="B149" s="101"/>
      <c r="C149" s="108"/>
      <c r="D149" s="101"/>
      <c r="E149" s="109"/>
      <c r="F149" s="121"/>
      <c r="G149" s="146"/>
      <c r="H149" s="146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28">
        <f>+I149+J149+K149+L149+M149+N149+O149+P149+Q149+R149+S149</f>
        <v>0</v>
      </c>
      <c r="V149" s="9"/>
    </row>
    <row r="150" spans="1:45" ht="48" thickBot="1" x14ac:dyDescent="0.3">
      <c r="A150" s="101">
        <v>2</v>
      </c>
      <c r="B150" s="101">
        <v>6</v>
      </c>
      <c r="C150" s="108">
        <v>4</v>
      </c>
      <c r="D150" s="101"/>
      <c r="E150" s="109"/>
      <c r="F150" s="121" t="s">
        <v>132</v>
      </c>
      <c r="G150" s="146">
        <f>G152+G153+G151</f>
        <v>0</v>
      </c>
      <c r="H150" s="146">
        <f>H152+H153+H151</f>
        <v>0</v>
      </c>
      <c r="I150" s="128">
        <f t="shared" ref="I150:V150" si="43">I151+I152</f>
        <v>0</v>
      </c>
      <c r="J150" s="128">
        <f t="shared" si="43"/>
        <v>0</v>
      </c>
      <c r="K150" s="128">
        <f t="shared" si="43"/>
        <v>0</v>
      </c>
      <c r="L150" s="128">
        <f t="shared" si="43"/>
        <v>0</v>
      </c>
      <c r="M150" s="128">
        <f t="shared" si="43"/>
        <v>0</v>
      </c>
      <c r="N150" s="128">
        <f t="shared" si="43"/>
        <v>0</v>
      </c>
      <c r="O150" s="128">
        <f t="shared" si="43"/>
        <v>0</v>
      </c>
      <c r="P150" s="128">
        <f t="shared" si="43"/>
        <v>0</v>
      </c>
      <c r="Q150" s="128">
        <f t="shared" si="43"/>
        <v>0</v>
      </c>
      <c r="R150" s="128">
        <f t="shared" si="43"/>
        <v>0</v>
      </c>
      <c r="S150" s="128">
        <f t="shared" si="43"/>
        <v>0</v>
      </c>
      <c r="T150" s="128">
        <f t="shared" si="43"/>
        <v>0</v>
      </c>
      <c r="U150" s="128">
        <f t="shared" si="43"/>
        <v>0</v>
      </c>
      <c r="V150" s="16">
        <f t="shared" si="43"/>
        <v>0</v>
      </c>
      <c r="W150" s="29"/>
      <c r="X150" s="29"/>
      <c r="Y150" s="29"/>
      <c r="Z150" s="29"/>
    </row>
    <row r="151" spans="1:45" ht="47.25" x14ac:dyDescent="0.25">
      <c r="A151" s="101">
        <v>2</v>
      </c>
      <c r="B151" s="101">
        <v>6</v>
      </c>
      <c r="C151" s="108">
        <v>4</v>
      </c>
      <c r="D151" s="101"/>
      <c r="E151" s="109"/>
      <c r="F151" s="149" t="s">
        <v>132</v>
      </c>
      <c r="G151" s="117"/>
      <c r="H151" s="117"/>
      <c r="I151" s="127">
        <v>0</v>
      </c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>
        <f>+I151+J151+K151+L151+M151+N151+O151+P151+Q151+R151+S151</f>
        <v>0</v>
      </c>
      <c r="V151" s="17">
        <v>0</v>
      </c>
      <c r="W151" s="29"/>
      <c r="X151" s="29"/>
      <c r="Y151" s="29"/>
      <c r="Z151" s="29"/>
    </row>
    <row r="152" spans="1:45" ht="31.5" x14ac:dyDescent="0.25">
      <c r="A152" s="101">
        <v>2</v>
      </c>
      <c r="B152" s="101">
        <v>6</v>
      </c>
      <c r="C152" s="108">
        <v>4</v>
      </c>
      <c r="D152" s="101">
        <v>1</v>
      </c>
      <c r="E152" s="101"/>
      <c r="F152" s="149" t="s">
        <v>133</v>
      </c>
      <c r="G152" s="125"/>
      <c r="H152" s="125"/>
      <c r="I152" s="128">
        <v>0</v>
      </c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>
        <f>+I152+J152+K152</f>
        <v>0</v>
      </c>
      <c r="V152" s="16">
        <v>0</v>
      </c>
      <c r="W152" s="29"/>
      <c r="X152" s="29"/>
      <c r="Y152" s="29"/>
      <c r="Z152" s="29"/>
    </row>
    <row r="153" spans="1:45" ht="15.75" x14ac:dyDescent="0.25">
      <c r="A153" s="101">
        <v>2</v>
      </c>
      <c r="B153" s="101">
        <v>6</v>
      </c>
      <c r="C153" s="108">
        <v>4</v>
      </c>
      <c r="D153" s="101">
        <v>7</v>
      </c>
      <c r="E153" s="101"/>
      <c r="F153" s="149" t="s">
        <v>134</v>
      </c>
      <c r="G153" s="125">
        <v>0</v>
      </c>
      <c r="H153" s="125"/>
      <c r="I153" s="128">
        <v>0</v>
      </c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>
        <f>+J153</f>
        <v>0</v>
      </c>
      <c r="V153" s="16">
        <v>0</v>
      </c>
      <c r="W153" s="29"/>
      <c r="X153" s="29"/>
      <c r="Y153" s="29"/>
      <c r="Z153" s="29"/>
    </row>
    <row r="154" spans="1:45" ht="16.5" thickBot="1" x14ac:dyDescent="0.3">
      <c r="A154" s="101"/>
      <c r="B154" s="101"/>
      <c r="C154" s="108"/>
      <c r="D154" s="100"/>
      <c r="E154" s="101"/>
      <c r="F154" s="149"/>
      <c r="G154" s="129"/>
      <c r="H154" s="129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6"/>
      <c r="W154" s="29"/>
      <c r="X154" s="29"/>
      <c r="Y154" s="29"/>
      <c r="Z154" s="29"/>
    </row>
    <row r="155" spans="1:45" ht="18" thickBot="1" x14ac:dyDescent="0.35">
      <c r="A155" s="171"/>
      <c r="B155" s="171"/>
      <c r="C155" s="172"/>
      <c r="D155" s="173"/>
      <c r="E155" s="173"/>
      <c r="F155" s="174" t="s">
        <v>135</v>
      </c>
      <c r="G155" s="111">
        <f>G111+G49+G13</f>
        <v>42039167</v>
      </c>
      <c r="H155" s="111">
        <f t="shared" ref="H155:P155" si="44">H111+H49+H13</f>
        <v>10767566</v>
      </c>
      <c r="I155" s="111">
        <f t="shared" si="44"/>
        <v>2386243.1800000002</v>
      </c>
      <c r="J155" s="111">
        <f t="shared" si="44"/>
        <v>3062383.18</v>
      </c>
      <c r="K155" s="111">
        <f t="shared" si="44"/>
        <v>2537809.06</v>
      </c>
      <c r="L155" s="111">
        <f t="shared" si="44"/>
        <v>2281173.9300000002</v>
      </c>
      <c r="M155" s="111">
        <f t="shared" si="44"/>
        <v>2756891.2700000005</v>
      </c>
      <c r="N155" s="111">
        <f t="shared" si="44"/>
        <v>2317116.64</v>
      </c>
      <c r="O155" s="111">
        <f t="shared" si="44"/>
        <v>2658351.29</v>
      </c>
      <c r="P155" s="111">
        <f t="shared" si="44"/>
        <v>2373884.6900000004</v>
      </c>
      <c r="Q155" s="111">
        <f>Q111+Q49+Q13</f>
        <v>2771264.15</v>
      </c>
      <c r="R155" s="111">
        <f>R111+R49+R13</f>
        <v>3749440.66</v>
      </c>
      <c r="S155" s="111">
        <f>S111+S49+S13</f>
        <v>2874202.6300000004</v>
      </c>
      <c r="T155" s="111">
        <f>T111+T49+T13</f>
        <v>7743491.9399999995</v>
      </c>
      <c r="U155" s="111">
        <f>U111+U49+U13</f>
        <v>37512252.619999997</v>
      </c>
      <c r="V155" s="28">
        <f>V111+V49+V13+V137</f>
        <v>4670821.8300000029</v>
      </c>
      <c r="W155" s="29"/>
      <c r="X155" s="29"/>
      <c r="Y155" s="29"/>
      <c r="Z155" s="29"/>
      <c r="AG155" s="29"/>
      <c r="AL155" s="208"/>
      <c r="AM155" s="208"/>
      <c r="AO155" s="208"/>
      <c r="AP155" s="208"/>
    </row>
    <row r="156" spans="1:45" ht="17.25" x14ac:dyDescent="0.3">
      <c r="A156" s="175"/>
      <c r="B156" s="175"/>
      <c r="C156" s="79"/>
      <c r="D156" s="79"/>
      <c r="E156" s="79"/>
      <c r="F156" s="79"/>
      <c r="G156" s="176"/>
      <c r="H156" s="176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6"/>
      <c r="V156" s="1"/>
      <c r="W156" s="29"/>
      <c r="X156" s="29"/>
      <c r="Y156" s="208"/>
      <c r="Z156" s="208"/>
      <c r="AC156" s="208"/>
      <c r="AD156" s="208"/>
      <c r="AF156" s="14"/>
      <c r="AL156" s="209"/>
      <c r="AM156" s="209"/>
      <c r="AO156" s="209"/>
      <c r="AP156" s="209"/>
      <c r="AR156" s="14"/>
    </row>
    <row r="157" spans="1:45" ht="18.75" x14ac:dyDescent="0.3">
      <c r="A157" s="175"/>
      <c r="B157" s="175"/>
      <c r="C157" s="79"/>
      <c r="D157" s="79"/>
      <c r="E157" s="178"/>
      <c r="F157" s="179"/>
      <c r="G157" s="176"/>
      <c r="H157" s="176"/>
      <c r="I157" s="180"/>
      <c r="J157" s="181"/>
      <c r="K157" s="180"/>
      <c r="L157" s="180"/>
      <c r="M157" s="180"/>
      <c r="N157" s="182"/>
      <c r="O157" s="182"/>
      <c r="P157" s="182"/>
      <c r="Q157" s="182"/>
      <c r="R157" s="182"/>
      <c r="S157" s="182"/>
      <c r="T157" s="182"/>
      <c r="U157" s="183"/>
      <c r="V157" s="41"/>
      <c r="W157" s="29"/>
      <c r="X157" s="29"/>
      <c r="Y157" s="209"/>
      <c r="Z157" s="209"/>
      <c r="AC157" s="209"/>
      <c r="AD157" s="209"/>
      <c r="AG157" s="29"/>
    </row>
    <row r="158" spans="1:45" ht="18" x14ac:dyDescent="0.25">
      <c r="A158" s="175"/>
      <c r="B158" s="175"/>
      <c r="C158" s="79"/>
      <c r="D158" s="79"/>
      <c r="E158" s="184"/>
      <c r="F158" s="185"/>
      <c r="G158" s="186"/>
      <c r="H158" s="186"/>
      <c r="I158" s="187"/>
      <c r="J158" s="187"/>
      <c r="K158" s="187"/>
      <c r="L158" s="187"/>
      <c r="M158" s="187"/>
      <c r="N158" s="188"/>
      <c r="O158" s="188"/>
      <c r="P158" s="188"/>
      <c r="Q158" s="188"/>
      <c r="R158" s="188"/>
      <c r="S158" s="188"/>
      <c r="T158" s="188"/>
      <c r="U158" s="189"/>
      <c r="V158" s="44"/>
      <c r="W158" s="45"/>
      <c r="X158" s="43"/>
      <c r="AB158" s="46"/>
    </row>
    <row r="159" spans="1:45" ht="19.5" thickBot="1" x14ac:dyDescent="0.35">
      <c r="A159" s="77"/>
      <c r="B159" s="77"/>
      <c r="C159" s="77"/>
      <c r="D159" s="77"/>
      <c r="E159" s="77"/>
      <c r="F159" s="185"/>
      <c r="G159" s="190"/>
      <c r="H159" s="190"/>
      <c r="I159" s="190"/>
      <c r="J159" s="190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2"/>
      <c r="V159" s="47"/>
      <c r="W159" s="49"/>
      <c r="X159" s="43"/>
      <c r="AB159" s="47"/>
      <c r="AM159" s="21"/>
      <c r="AN159" s="21"/>
      <c r="AO159" s="48"/>
      <c r="AQ159" s="50"/>
      <c r="AR159" s="14"/>
    </row>
    <row r="160" spans="1:45" ht="18.75" x14ac:dyDescent="0.3">
      <c r="A160" s="77"/>
      <c r="B160" s="77"/>
      <c r="C160" s="77"/>
      <c r="D160" s="77"/>
      <c r="E160" s="77"/>
      <c r="F160" s="193" t="s">
        <v>136</v>
      </c>
      <c r="G160" s="190"/>
      <c r="H160" s="190"/>
      <c r="I160" s="190"/>
      <c r="J160" s="190"/>
      <c r="K160" s="191"/>
      <c r="L160" s="190"/>
      <c r="M160" s="190"/>
      <c r="N160" s="190"/>
      <c r="O160" s="190"/>
      <c r="P160" s="190"/>
      <c r="Q160" s="190"/>
      <c r="R160" s="190"/>
      <c r="S160" s="190"/>
      <c r="T160" s="190"/>
      <c r="U160" s="189"/>
      <c r="V160" s="42"/>
      <c r="W160" s="51"/>
      <c r="X160" s="47"/>
      <c r="Y160" s="48"/>
      <c r="AA160" s="50"/>
      <c r="AB160" s="48"/>
      <c r="AC160" s="48"/>
      <c r="AE160" s="50"/>
      <c r="AF160" s="29"/>
      <c r="AG160" s="48"/>
      <c r="AH160" s="52"/>
      <c r="AJ160" s="50"/>
      <c r="AK160" s="23"/>
      <c r="AL160" s="48"/>
      <c r="AM160" s="50"/>
      <c r="AS160" s="14"/>
    </row>
    <row r="161" spans="1:48" ht="18.75" x14ac:dyDescent="0.3">
      <c r="A161" s="77"/>
      <c r="B161" s="77"/>
      <c r="C161" s="77"/>
      <c r="D161" s="77"/>
      <c r="E161" s="77"/>
      <c r="F161" s="185" t="s">
        <v>137</v>
      </c>
      <c r="G161" s="194"/>
      <c r="H161" s="190"/>
      <c r="I161" s="190"/>
      <c r="J161" s="190"/>
      <c r="K161" s="191"/>
      <c r="L161" s="190"/>
      <c r="M161" s="190"/>
      <c r="N161" s="190"/>
      <c r="O161" s="190"/>
      <c r="P161" s="190"/>
      <c r="Q161" s="190"/>
      <c r="R161" s="190"/>
      <c r="S161" s="190"/>
      <c r="T161" s="190"/>
      <c r="U161" s="189"/>
      <c r="V161" s="42"/>
      <c r="W161" s="51"/>
      <c r="X161" s="47"/>
      <c r="AB161" s="42"/>
      <c r="AG161" s="14"/>
      <c r="AH161" s="14"/>
      <c r="AJ161" s="1"/>
      <c r="AN161" s="14"/>
      <c r="AO161" s="53"/>
      <c r="AS161" s="14"/>
      <c r="AT161" s="14"/>
    </row>
    <row r="162" spans="1:48" ht="18.75" x14ac:dyDescent="0.3">
      <c r="A162" s="77"/>
      <c r="B162" s="77"/>
      <c r="C162" s="77"/>
      <c r="D162" s="77"/>
      <c r="E162" s="77"/>
      <c r="F162" s="185"/>
      <c r="G162" s="190"/>
      <c r="H162" s="190"/>
      <c r="I162" s="190"/>
      <c r="J162" s="190"/>
      <c r="K162" s="191"/>
      <c r="L162" s="190"/>
      <c r="M162" s="190"/>
      <c r="N162" s="190"/>
      <c r="O162" s="190"/>
      <c r="P162" s="190"/>
      <c r="Q162" s="190"/>
      <c r="R162" s="190"/>
      <c r="S162" s="190"/>
      <c r="T162" s="190"/>
      <c r="U162" s="189"/>
      <c r="V162" s="42"/>
      <c r="W162" s="51"/>
      <c r="X162" s="47"/>
      <c r="Y162" s="53"/>
      <c r="AB162" s="53"/>
      <c r="AC162" s="53"/>
      <c r="AG162" s="53"/>
      <c r="AJ162" s="1"/>
      <c r="AL162" s="53"/>
      <c r="AO162" s="54"/>
      <c r="AQ162" s="29"/>
      <c r="AR162" s="14"/>
      <c r="AS162" s="14"/>
      <c r="AT162" s="14"/>
    </row>
    <row r="163" spans="1:48" ht="18.75" x14ac:dyDescent="0.3">
      <c r="A163" s="77"/>
      <c r="B163" s="77"/>
      <c r="C163" s="77"/>
      <c r="D163" s="77"/>
      <c r="E163" s="77"/>
      <c r="F163" s="185"/>
      <c r="G163" s="194"/>
      <c r="H163" s="194"/>
      <c r="I163" s="195"/>
      <c r="J163" s="195"/>
      <c r="K163" s="195"/>
      <c r="L163" s="190"/>
      <c r="M163" s="190"/>
      <c r="N163" s="190"/>
      <c r="O163" s="190"/>
      <c r="P163" s="190"/>
      <c r="Q163" s="190"/>
      <c r="R163" s="190"/>
      <c r="S163" s="190"/>
      <c r="T163" s="190"/>
      <c r="U163" s="196"/>
      <c r="V163" s="56"/>
      <c r="W163" s="56"/>
      <c r="X163" s="47"/>
      <c r="Y163" s="54"/>
      <c r="AA163" s="29"/>
      <c r="AB163" s="54"/>
      <c r="AC163" s="54"/>
      <c r="AE163" s="29"/>
      <c r="AF163" s="29"/>
      <c r="AG163" s="54"/>
      <c r="AH163" s="29"/>
      <c r="AI163" s="29"/>
      <c r="AJ163" s="29"/>
      <c r="AK163" s="29"/>
      <c r="AL163" s="54"/>
      <c r="AM163" s="29"/>
      <c r="AN163" s="29"/>
      <c r="AO163" s="57"/>
      <c r="AQ163" s="29"/>
      <c r="AT163" s="14"/>
    </row>
    <row r="164" spans="1:48" ht="18" x14ac:dyDescent="0.25">
      <c r="A164" s="77"/>
      <c r="B164" s="77"/>
      <c r="C164" s="77"/>
      <c r="D164" s="77"/>
      <c r="E164" s="77"/>
      <c r="F164" s="185"/>
      <c r="G164" s="197"/>
      <c r="H164" s="197"/>
      <c r="I164" s="195"/>
      <c r="J164" s="195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90"/>
      <c r="V164" s="44"/>
      <c r="W164" s="58"/>
      <c r="X164" s="47"/>
      <c r="Y164" s="57"/>
      <c r="AA164" s="29"/>
      <c r="AB164" s="57"/>
      <c r="AC164" s="57"/>
      <c r="AE164" s="29"/>
      <c r="AG164" s="57"/>
      <c r="AH164" s="29"/>
      <c r="AI164" s="29"/>
      <c r="AJ164" s="29"/>
      <c r="AK164" s="29"/>
      <c r="AL164" s="57"/>
      <c r="AM164" s="29"/>
      <c r="AN164" s="29"/>
      <c r="AO164" s="57"/>
      <c r="AQ164" s="29"/>
      <c r="AR164" s="14"/>
      <c r="AS164" s="14"/>
      <c r="AV164" s="14"/>
    </row>
    <row r="165" spans="1:48" ht="18" x14ac:dyDescent="0.25">
      <c r="A165" s="77"/>
      <c r="B165" s="77"/>
      <c r="C165" s="77"/>
      <c r="D165" s="77"/>
      <c r="E165" s="77"/>
      <c r="F165" s="185"/>
      <c r="G165" s="197"/>
      <c r="H165" s="197"/>
      <c r="I165" s="195"/>
      <c r="J165" s="195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90"/>
      <c r="V165" s="44"/>
      <c r="W165" s="58"/>
      <c r="X165" s="47"/>
      <c r="Y165" s="57"/>
      <c r="AA165" s="29"/>
      <c r="AB165" s="57"/>
      <c r="AC165" s="57"/>
      <c r="AE165" s="29"/>
      <c r="AG165" s="57"/>
      <c r="AH165" s="29"/>
      <c r="AI165" s="29"/>
      <c r="AJ165" s="29"/>
      <c r="AK165" s="29"/>
      <c r="AL165" s="57"/>
      <c r="AM165" s="29"/>
      <c r="AN165" s="29"/>
      <c r="AO165" s="59"/>
      <c r="AQ165" s="29"/>
      <c r="AR165" s="14"/>
      <c r="AT165" s="14"/>
    </row>
    <row r="166" spans="1:48" ht="18" x14ac:dyDescent="0.25">
      <c r="A166" s="77"/>
      <c r="B166" s="77"/>
      <c r="C166" s="77"/>
      <c r="D166" s="77"/>
      <c r="E166" s="77"/>
      <c r="F166" s="185"/>
      <c r="G166" s="198"/>
      <c r="H166" s="198"/>
      <c r="I166" s="199"/>
      <c r="J166" s="199"/>
      <c r="K166" s="188"/>
      <c r="L166" s="188"/>
      <c r="M166" s="188"/>
      <c r="N166" s="188"/>
      <c r="O166" s="188"/>
      <c r="P166" s="188"/>
      <c r="Q166" s="188"/>
      <c r="R166" s="188"/>
      <c r="S166" s="188"/>
      <c r="T166" s="188"/>
      <c r="U166" s="189"/>
      <c r="V166" s="61"/>
      <c r="W166" s="14"/>
      <c r="X166" s="47"/>
      <c r="Y166" s="59"/>
      <c r="AA166" s="29"/>
      <c r="AB166" s="57"/>
      <c r="AC166" s="59"/>
      <c r="AE166" s="29"/>
      <c r="AF166" s="14"/>
      <c r="AG166" s="54"/>
      <c r="AH166" s="29"/>
      <c r="AI166" s="29"/>
      <c r="AJ166" s="29"/>
      <c r="AK166" s="29"/>
      <c r="AL166" s="59"/>
      <c r="AM166" s="29"/>
      <c r="AN166" s="29"/>
      <c r="AO166" s="1"/>
      <c r="AQ166" s="29"/>
      <c r="AV166" s="14"/>
    </row>
    <row r="167" spans="1:48" ht="18" x14ac:dyDescent="0.25">
      <c r="A167" s="77"/>
      <c r="B167" s="77"/>
      <c r="C167" s="77"/>
      <c r="D167" s="77"/>
      <c r="E167" s="77"/>
      <c r="F167" s="185"/>
      <c r="G167" s="198"/>
      <c r="H167" s="198"/>
      <c r="I167" s="199"/>
      <c r="J167" s="199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9"/>
      <c r="V167" s="61"/>
      <c r="W167" s="14"/>
      <c r="X167" s="47"/>
      <c r="Y167" s="1"/>
      <c r="AA167" s="29"/>
      <c r="AB167" s="57"/>
      <c r="AC167" s="1"/>
      <c r="AE167" s="29"/>
      <c r="AG167" s="14"/>
      <c r="AH167" s="29"/>
      <c r="AI167" s="29"/>
      <c r="AJ167" s="41"/>
      <c r="AK167" s="29"/>
      <c r="AM167" s="29"/>
      <c r="AN167" s="29"/>
      <c r="AO167" s="1"/>
      <c r="AP167" s="14"/>
      <c r="AQ167" s="29"/>
      <c r="AS167" s="14"/>
      <c r="AT167" s="14"/>
    </row>
    <row r="168" spans="1:48" ht="18" x14ac:dyDescent="0.25">
      <c r="A168" s="77"/>
      <c r="B168" s="77"/>
      <c r="C168" s="77"/>
      <c r="D168" s="77"/>
      <c r="E168" s="77"/>
      <c r="F168" s="185"/>
      <c r="G168" s="198"/>
      <c r="H168" s="198"/>
      <c r="I168" s="199"/>
      <c r="J168" s="199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9"/>
      <c r="V168" s="61"/>
      <c r="W168" s="14"/>
      <c r="X168" s="47"/>
      <c r="Y168" s="1"/>
      <c r="Z168" s="14"/>
      <c r="AA168" s="29"/>
      <c r="AB168" s="57"/>
      <c r="AC168" s="1"/>
      <c r="AD168" s="14"/>
      <c r="AE168" s="29"/>
      <c r="AG168" s="23"/>
      <c r="AH168" s="29"/>
      <c r="AI168" s="29"/>
      <c r="AJ168" s="41"/>
      <c r="AK168" s="29"/>
      <c r="AM168" s="29"/>
      <c r="AN168" s="29"/>
      <c r="AO168" s="14"/>
      <c r="AP168" s="14"/>
      <c r="AQ168" s="29"/>
      <c r="AS168" s="14"/>
    </row>
    <row r="169" spans="1:48" ht="18.75" thickBot="1" x14ac:dyDescent="0.3">
      <c r="A169" s="77"/>
      <c r="B169" s="77"/>
      <c r="C169" s="77"/>
      <c r="D169" s="77"/>
      <c r="E169" s="77"/>
      <c r="F169" s="200"/>
      <c r="G169" s="201"/>
      <c r="H169" s="201"/>
      <c r="I169" s="195"/>
      <c r="J169" s="202"/>
      <c r="K169" s="195"/>
      <c r="L169" s="189"/>
      <c r="M169" s="189"/>
      <c r="N169" s="189"/>
      <c r="O169" s="189"/>
      <c r="P169" s="189"/>
      <c r="Q169" s="189"/>
      <c r="R169" s="189"/>
      <c r="S169" s="189"/>
      <c r="T169" s="189"/>
      <c r="U169" s="196"/>
      <c r="V169" s="60"/>
      <c r="W169" s="23"/>
      <c r="X169" s="62"/>
      <c r="Y169" s="14"/>
      <c r="Z169" s="14"/>
      <c r="AA169" s="29"/>
      <c r="AB169" s="60"/>
      <c r="AC169" s="14"/>
      <c r="AD169" s="14"/>
      <c r="AE169" s="29"/>
      <c r="AG169" s="14"/>
      <c r="AH169" s="29"/>
      <c r="AI169" s="29"/>
      <c r="AJ169" s="63"/>
      <c r="AK169" s="29"/>
      <c r="AL169" s="14"/>
      <c r="AM169" s="29"/>
      <c r="AN169" s="29"/>
      <c r="AO169" s="64"/>
      <c r="AQ169" s="65"/>
      <c r="AU169" s="14"/>
    </row>
    <row r="170" spans="1:48" ht="19.5" thickBot="1" x14ac:dyDescent="0.35">
      <c r="A170" s="77"/>
      <c r="B170" s="77"/>
      <c r="C170" s="77"/>
      <c r="D170" s="77"/>
      <c r="E170" s="77"/>
      <c r="F170" s="185" t="s">
        <v>138</v>
      </c>
      <c r="G170" s="185"/>
      <c r="H170" s="185"/>
      <c r="I170" s="202"/>
      <c r="J170" s="202"/>
      <c r="K170" s="202"/>
      <c r="L170" s="195"/>
      <c r="M170" s="203"/>
      <c r="N170" s="203"/>
      <c r="O170" s="203"/>
      <c r="P170" s="203"/>
      <c r="Q170" s="203"/>
      <c r="R170" s="203"/>
      <c r="S170" s="203"/>
      <c r="T170" s="203"/>
      <c r="U170" s="202"/>
      <c r="V170" s="55"/>
      <c r="W170" s="29"/>
      <c r="X170" s="42"/>
      <c r="Y170" s="64"/>
      <c r="AA170" s="65"/>
      <c r="AB170" s="64"/>
      <c r="AC170" s="64"/>
      <c r="AE170" s="65"/>
      <c r="AG170" s="64"/>
      <c r="AH170" s="65"/>
      <c r="AI170" s="29"/>
      <c r="AJ170" s="66"/>
      <c r="AK170" s="29"/>
      <c r="AL170" s="64"/>
      <c r="AM170" s="65"/>
      <c r="AN170" s="29"/>
      <c r="AO170" s="64"/>
      <c r="AQ170" s="67"/>
      <c r="AR170" s="23"/>
      <c r="AS170" s="14"/>
      <c r="AT170" s="14"/>
    </row>
    <row r="171" spans="1:48" ht="20.25" thickTop="1" thickBot="1" x14ac:dyDescent="0.35">
      <c r="A171" s="77"/>
      <c r="B171" s="77"/>
      <c r="C171" s="77"/>
      <c r="D171" s="77"/>
      <c r="E171" s="77"/>
      <c r="F171" s="185" t="s">
        <v>139</v>
      </c>
      <c r="G171" s="185"/>
      <c r="H171" s="185"/>
      <c r="I171" s="202"/>
      <c r="J171" s="202"/>
      <c r="K171" s="202"/>
      <c r="L171" s="195"/>
      <c r="M171" s="203"/>
      <c r="N171" s="203"/>
      <c r="O171" s="203"/>
      <c r="P171" s="203"/>
      <c r="Q171" s="203"/>
      <c r="R171" s="203"/>
      <c r="S171" s="203"/>
      <c r="T171" s="203"/>
      <c r="U171" s="202"/>
      <c r="V171" s="55"/>
      <c r="W171" s="29"/>
      <c r="X171" s="42"/>
      <c r="Y171" s="64"/>
      <c r="AA171" s="67"/>
      <c r="AB171" s="64"/>
      <c r="AC171" s="64"/>
      <c r="AE171" s="67"/>
      <c r="AF171" s="14"/>
      <c r="AG171" s="64"/>
      <c r="AH171" s="67"/>
      <c r="AI171" s="29"/>
      <c r="AJ171" s="68"/>
      <c r="AK171" s="29"/>
      <c r="AL171" s="64"/>
      <c r="AM171" s="67"/>
      <c r="AN171" s="29"/>
      <c r="AP171" s="14"/>
      <c r="AQ171" s="29"/>
      <c r="AR171" s="14"/>
    </row>
    <row r="172" spans="1:48" ht="19.5" thickTop="1" x14ac:dyDescent="0.3">
      <c r="A172" s="77"/>
      <c r="B172" s="77"/>
      <c r="C172" s="77"/>
      <c r="D172" s="204"/>
      <c r="E172" s="77"/>
      <c r="F172" s="185"/>
      <c r="G172" s="204"/>
      <c r="H172" s="204"/>
      <c r="I172" s="202"/>
      <c r="J172" s="202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202"/>
      <c r="V172" s="55"/>
      <c r="W172" s="29"/>
      <c r="X172" s="42"/>
      <c r="Z172" s="14"/>
      <c r="AA172" s="29"/>
      <c r="AB172" s="55"/>
      <c r="AD172" s="14"/>
      <c r="AE172" s="29"/>
      <c r="AH172" s="29"/>
      <c r="AI172" s="29"/>
      <c r="AJ172" s="1"/>
      <c r="AK172" s="29"/>
      <c r="AM172" s="29"/>
      <c r="AN172" s="29"/>
      <c r="AQ172" s="29"/>
      <c r="AS172" s="23"/>
    </row>
    <row r="173" spans="1:48" ht="18.75" x14ac:dyDescent="0.3">
      <c r="A173" s="77"/>
      <c r="B173" s="77"/>
      <c r="C173" s="77"/>
      <c r="D173" s="77"/>
      <c r="E173" s="77"/>
      <c r="F173" s="175"/>
      <c r="G173" s="77"/>
      <c r="H173" s="77"/>
      <c r="I173" s="205"/>
      <c r="J173" s="205"/>
      <c r="K173" s="205"/>
      <c r="L173" s="205"/>
      <c r="M173" s="205"/>
      <c r="N173" s="205"/>
      <c r="O173" s="205"/>
      <c r="P173" s="205"/>
      <c r="Q173" s="205"/>
      <c r="R173" s="205"/>
      <c r="S173" s="205"/>
      <c r="T173" s="205"/>
      <c r="U173" s="206"/>
      <c r="V173" s="69"/>
      <c r="W173" s="29"/>
      <c r="X173" s="42"/>
      <c r="AA173" s="29"/>
      <c r="AB173" s="69"/>
      <c r="AE173" s="29"/>
      <c r="AH173" s="29"/>
      <c r="AI173" s="29"/>
      <c r="AJ173" s="1"/>
      <c r="AK173" s="29"/>
      <c r="AM173" s="29"/>
      <c r="AN173" s="29"/>
      <c r="AO173" s="70"/>
      <c r="AQ173" s="65"/>
      <c r="AR173" s="14"/>
    </row>
    <row r="174" spans="1:48" ht="15.75" x14ac:dyDescent="0.25">
      <c r="A174" s="77"/>
      <c r="B174" s="77"/>
      <c r="C174" s="77"/>
      <c r="D174" s="77"/>
      <c r="E174" s="77"/>
      <c r="F174" s="175"/>
      <c r="G174" s="77"/>
      <c r="H174" s="77"/>
      <c r="I174" s="205"/>
      <c r="J174" s="205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6"/>
      <c r="V174" s="69"/>
      <c r="W174" s="29"/>
      <c r="X174" s="2"/>
      <c r="Y174" s="70"/>
      <c r="AA174" s="65"/>
      <c r="AB174" s="70"/>
      <c r="AC174" s="70"/>
      <c r="AE174" s="65"/>
      <c r="AG174" s="70"/>
      <c r="AH174" s="29"/>
      <c r="AI174" s="29"/>
      <c r="AJ174" s="41"/>
      <c r="AK174" s="29"/>
      <c r="AL174" s="70"/>
      <c r="AM174" s="65"/>
      <c r="AN174" s="29"/>
      <c r="AO174" s="54"/>
      <c r="AQ174" s="69"/>
    </row>
    <row r="175" spans="1:48" x14ac:dyDescent="0.25">
      <c r="A175" s="77"/>
      <c r="B175" s="77"/>
      <c r="C175" s="77"/>
      <c r="D175" s="77"/>
      <c r="E175" s="77"/>
      <c r="F175" s="77"/>
      <c r="G175" s="77"/>
      <c r="H175" s="77"/>
      <c r="I175" s="78"/>
      <c r="J175" s="205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6"/>
      <c r="V175" s="69"/>
      <c r="W175" s="29"/>
      <c r="X175" s="2"/>
      <c r="Y175" s="54"/>
      <c r="AA175" s="69"/>
      <c r="AB175" s="54"/>
      <c r="AC175" s="54"/>
      <c r="AE175" s="69"/>
      <c r="AG175" s="54"/>
      <c r="AH175" s="29"/>
      <c r="AI175" s="29"/>
      <c r="AJ175" s="29"/>
      <c r="AK175" s="29"/>
      <c r="AL175" s="54"/>
      <c r="AM175" s="69"/>
      <c r="AN175" s="29"/>
      <c r="AO175" s="71"/>
      <c r="AQ175" s="69"/>
      <c r="AS175" s="14"/>
    </row>
    <row r="176" spans="1:48" x14ac:dyDescent="0.25">
      <c r="A176" s="77"/>
      <c r="B176" s="77"/>
      <c r="C176" s="77"/>
      <c r="D176" s="77"/>
      <c r="E176" s="77"/>
      <c r="F176" s="77"/>
      <c r="G176" s="77"/>
      <c r="H176" s="77"/>
      <c r="I176" s="78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6"/>
      <c r="V176" s="29"/>
      <c r="W176" s="29"/>
      <c r="X176" s="33"/>
      <c r="Y176" s="71"/>
      <c r="AA176" s="69"/>
      <c r="AB176" s="71"/>
      <c r="AC176" s="71"/>
      <c r="AE176" s="69"/>
      <c r="AG176" s="71"/>
      <c r="AH176" s="29"/>
      <c r="AI176" s="29"/>
      <c r="AJ176" s="29"/>
      <c r="AK176" s="29"/>
      <c r="AL176" s="71"/>
      <c r="AM176" s="69"/>
      <c r="AN176" s="29"/>
      <c r="AO176" s="71"/>
      <c r="AQ176" s="69"/>
      <c r="AU176" s="29"/>
    </row>
    <row r="177" spans="1:48" ht="18.75" thickBot="1" x14ac:dyDescent="0.3">
      <c r="A177" s="77"/>
      <c r="B177" s="77"/>
      <c r="C177" s="77"/>
      <c r="D177" s="77"/>
      <c r="E177" s="77"/>
      <c r="F177" s="200"/>
      <c r="G177" s="77"/>
      <c r="H177" s="77"/>
      <c r="I177" s="78"/>
      <c r="J177" s="205"/>
      <c r="K177" s="205"/>
      <c r="L177" s="205"/>
      <c r="M177" s="205"/>
      <c r="N177" s="205"/>
      <c r="O177" s="205"/>
      <c r="P177" s="205"/>
      <c r="Q177" s="205"/>
      <c r="R177" s="205"/>
      <c r="S177" s="205"/>
      <c r="T177" s="205"/>
      <c r="U177" s="207"/>
      <c r="V177" s="29"/>
      <c r="W177" s="29"/>
      <c r="X177" s="33"/>
      <c r="Y177" s="71"/>
      <c r="AA177" s="69"/>
      <c r="AB177" s="71"/>
      <c r="AC177" s="71"/>
      <c r="AE177" s="69"/>
      <c r="AG177" s="71"/>
      <c r="AH177" s="29"/>
      <c r="AI177" s="29"/>
      <c r="AJ177" s="29"/>
      <c r="AK177" s="29"/>
      <c r="AL177" s="71"/>
      <c r="AM177" s="69"/>
      <c r="AN177" s="29"/>
      <c r="AO177" s="57"/>
      <c r="AQ177" s="69"/>
      <c r="AS177" s="14"/>
      <c r="AU177" s="29"/>
    </row>
    <row r="178" spans="1:48" ht="18" x14ac:dyDescent="0.25">
      <c r="A178" s="77"/>
      <c r="B178" s="77"/>
      <c r="C178" s="77"/>
      <c r="D178" s="77"/>
      <c r="E178" s="77"/>
      <c r="F178" s="185" t="s">
        <v>140</v>
      </c>
      <c r="G178" s="77"/>
      <c r="H178" s="77"/>
      <c r="I178" s="78"/>
      <c r="J178" s="205"/>
      <c r="K178" s="205"/>
      <c r="L178" s="205"/>
      <c r="M178" s="205"/>
      <c r="N178" s="205"/>
      <c r="O178" s="205"/>
      <c r="P178" s="205"/>
      <c r="Q178" s="205"/>
      <c r="R178" s="205"/>
      <c r="S178" s="205"/>
      <c r="T178" s="205"/>
      <c r="U178" s="206"/>
      <c r="V178" s="29"/>
      <c r="W178" s="29"/>
      <c r="X178" s="33"/>
      <c r="Y178" s="57"/>
      <c r="AA178" s="69"/>
      <c r="AB178" s="57"/>
      <c r="AC178" s="57"/>
      <c r="AE178" s="69"/>
      <c r="AG178" s="57"/>
      <c r="AH178" s="29"/>
      <c r="AI178" s="29"/>
      <c r="AJ178" s="29"/>
      <c r="AK178" s="29"/>
      <c r="AL178" s="57"/>
      <c r="AM178" s="69"/>
      <c r="AN178" s="29"/>
      <c r="AO178" s="57"/>
      <c r="AP178" s="14"/>
      <c r="AQ178" s="69"/>
      <c r="AS178" s="14"/>
      <c r="AU178" s="29"/>
    </row>
    <row r="179" spans="1:48" ht="18" x14ac:dyDescent="0.25">
      <c r="A179" s="77"/>
      <c r="B179" s="77"/>
      <c r="C179" s="77"/>
      <c r="D179" s="77"/>
      <c r="E179" s="77"/>
      <c r="F179" s="185" t="s">
        <v>141</v>
      </c>
      <c r="G179" s="77"/>
      <c r="H179" s="77"/>
      <c r="I179" s="78"/>
      <c r="J179" s="205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6"/>
      <c r="V179" s="29"/>
      <c r="W179" s="29"/>
      <c r="X179" s="33"/>
      <c r="Y179" s="57"/>
      <c r="Z179" s="14"/>
      <c r="AA179" s="69"/>
      <c r="AB179" s="57"/>
      <c r="AC179" s="57"/>
      <c r="AD179" s="14"/>
      <c r="AE179" s="69"/>
      <c r="AG179" s="57"/>
      <c r="AH179" s="29"/>
      <c r="AI179" s="29"/>
      <c r="AJ179" s="29"/>
      <c r="AK179" s="29"/>
      <c r="AL179" s="57"/>
      <c r="AM179" s="69"/>
      <c r="AN179" s="29"/>
      <c r="AO179" s="57"/>
      <c r="AQ179" s="69"/>
      <c r="AU179" s="29"/>
    </row>
    <row r="180" spans="1:48" ht="18" x14ac:dyDescent="0.25">
      <c r="A180" s="77"/>
      <c r="B180" s="77"/>
      <c r="C180" s="77"/>
      <c r="D180" s="77"/>
      <c r="E180" s="77"/>
      <c r="F180" s="185"/>
      <c r="G180" s="77"/>
      <c r="H180" s="77"/>
      <c r="I180" s="78"/>
      <c r="J180" s="205"/>
      <c r="K180" s="205"/>
      <c r="L180" s="205"/>
      <c r="M180" s="205"/>
      <c r="N180" s="205"/>
      <c r="O180" s="205"/>
      <c r="P180" s="205"/>
      <c r="Q180" s="205"/>
      <c r="R180" s="205"/>
      <c r="S180" s="205"/>
      <c r="T180" s="205"/>
      <c r="U180" s="206"/>
      <c r="V180" s="29"/>
      <c r="W180" s="29"/>
      <c r="X180" s="33"/>
      <c r="Y180" s="57"/>
      <c r="AA180" s="69"/>
      <c r="AB180" s="57"/>
      <c r="AC180" s="57"/>
      <c r="AE180" s="69"/>
      <c r="AG180" s="57"/>
      <c r="AH180" s="29"/>
      <c r="AI180" s="29"/>
      <c r="AJ180" s="29"/>
      <c r="AK180" s="29"/>
      <c r="AL180" s="57"/>
      <c r="AM180" s="69"/>
      <c r="AN180" s="29"/>
      <c r="AO180" s="1"/>
      <c r="AQ180" s="69"/>
      <c r="AU180" s="29"/>
    </row>
    <row r="181" spans="1:48" x14ac:dyDescent="0.25">
      <c r="A181" s="77"/>
      <c r="B181" s="77"/>
      <c r="C181" s="77"/>
      <c r="D181" s="77"/>
      <c r="E181" s="77"/>
      <c r="F181" s="77"/>
      <c r="G181" s="77"/>
      <c r="H181" s="77"/>
      <c r="I181" s="78"/>
      <c r="J181" s="205"/>
      <c r="K181" s="205"/>
      <c r="L181" s="205"/>
      <c r="M181" s="205"/>
      <c r="N181" s="205"/>
      <c r="O181" s="205"/>
      <c r="P181" s="205"/>
      <c r="Q181" s="205"/>
      <c r="R181" s="205"/>
      <c r="S181" s="205"/>
      <c r="T181" s="205"/>
      <c r="U181" s="206"/>
      <c r="V181" s="29"/>
      <c r="W181" s="29"/>
      <c r="X181" s="33"/>
      <c r="Y181" s="1"/>
      <c r="AA181" s="69"/>
      <c r="AB181" s="69"/>
      <c r="AC181" s="1"/>
      <c r="AE181" s="69"/>
      <c r="AG181" s="14"/>
      <c r="AH181" s="29"/>
      <c r="AI181" s="29"/>
      <c r="AJ181" s="29"/>
      <c r="AK181" s="29"/>
      <c r="AL181" s="14"/>
      <c r="AM181" s="69"/>
      <c r="AN181" s="29"/>
      <c r="AO181" s="71"/>
      <c r="AQ181" s="69"/>
      <c r="AS181" s="14"/>
      <c r="AU181" s="14"/>
      <c r="AV181" s="14"/>
    </row>
    <row r="182" spans="1:48" x14ac:dyDescent="0.25">
      <c r="A182" s="77"/>
      <c r="B182" s="77"/>
      <c r="C182" s="77"/>
      <c r="D182" s="77"/>
      <c r="E182" s="77"/>
      <c r="F182" s="77"/>
      <c r="G182" s="77"/>
      <c r="H182" s="77"/>
      <c r="I182" s="78"/>
      <c r="J182" s="205"/>
      <c r="K182" s="205"/>
      <c r="L182" s="205"/>
      <c r="M182" s="205"/>
      <c r="N182" s="205"/>
      <c r="O182" s="205"/>
      <c r="P182" s="205"/>
      <c r="Q182" s="205"/>
      <c r="R182" s="205"/>
      <c r="S182" s="205"/>
      <c r="T182" s="205"/>
      <c r="U182" s="206"/>
      <c r="V182" s="29"/>
      <c r="W182" s="29"/>
      <c r="X182" s="33"/>
      <c r="Y182" s="71"/>
      <c r="AA182" s="69"/>
      <c r="AB182" s="71"/>
      <c r="AC182" s="71"/>
      <c r="AE182" s="69"/>
      <c r="AG182" s="71"/>
      <c r="AH182" s="29"/>
      <c r="AI182" s="29"/>
      <c r="AJ182" s="29"/>
      <c r="AK182" s="29"/>
      <c r="AL182" s="71"/>
      <c r="AM182" s="69"/>
      <c r="AN182" s="29"/>
      <c r="AO182" s="71"/>
      <c r="AQ182" s="69"/>
      <c r="AS182" s="29"/>
    </row>
    <row r="183" spans="1:48" x14ac:dyDescent="0.25">
      <c r="A183" s="77"/>
      <c r="B183" s="77"/>
      <c r="C183" s="77"/>
      <c r="D183" s="77"/>
      <c r="E183" s="77"/>
      <c r="F183" s="77"/>
      <c r="G183" s="77"/>
      <c r="H183" s="77"/>
      <c r="I183" s="78"/>
      <c r="J183" s="205"/>
      <c r="K183" s="205"/>
      <c r="L183" s="205"/>
      <c r="M183" s="205"/>
      <c r="N183" s="205"/>
      <c r="O183" s="205"/>
      <c r="P183" s="205"/>
      <c r="Q183" s="205"/>
      <c r="R183" s="205"/>
      <c r="S183" s="205"/>
      <c r="T183" s="205"/>
      <c r="U183" s="206"/>
      <c r="V183" s="29"/>
      <c r="W183" s="29"/>
      <c r="X183" s="33"/>
      <c r="Y183" s="71"/>
      <c r="AA183" s="69"/>
      <c r="AB183" s="71"/>
      <c r="AC183" s="71"/>
      <c r="AE183" s="69"/>
      <c r="AH183" s="29"/>
      <c r="AI183" s="29"/>
      <c r="AJ183" s="29"/>
      <c r="AK183" s="29"/>
      <c r="AL183" s="71"/>
      <c r="AM183" s="69"/>
      <c r="AN183" s="29"/>
      <c r="AQ183" s="69"/>
      <c r="AU183" s="14"/>
    </row>
    <row r="184" spans="1:48" x14ac:dyDescent="0.25"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29"/>
      <c r="V184" s="29"/>
      <c r="W184" s="29"/>
      <c r="X184" s="33"/>
      <c r="AA184" s="69"/>
      <c r="AB184" s="69"/>
      <c r="AE184" s="69"/>
      <c r="AG184" s="14"/>
      <c r="AH184" s="29"/>
      <c r="AI184" s="29"/>
      <c r="AJ184" s="29"/>
      <c r="AK184" s="29"/>
      <c r="AM184" s="69"/>
      <c r="AN184" s="29"/>
      <c r="AO184" s="64"/>
      <c r="AQ184" s="72"/>
    </row>
    <row r="185" spans="1:48" x14ac:dyDescent="0.25"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29"/>
      <c r="V185" s="29"/>
      <c r="W185" s="29"/>
      <c r="X185" s="33"/>
      <c r="Y185" s="64"/>
      <c r="AA185" s="72"/>
      <c r="AB185" s="64"/>
      <c r="AC185" s="64"/>
      <c r="AE185" s="72"/>
      <c r="AG185" s="64"/>
      <c r="AH185" s="72"/>
      <c r="AI185" s="29"/>
      <c r="AJ185" s="72"/>
      <c r="AK185" s="29"/>
      <c r="AL185" s="64"/>
      <c r="AM185" s="72"/>
      <c r="AN185" s="29"/>
      <c r="AO185" s="64"/>
      <c r="AQ185" s="73"/>
    </row>
    <row r="186" spans="1:48" ht="15.75" thickBot="1" x14ac:dyDescent="0.3"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29"/>
      <c r="V186" s="29"/>
      <c r="W186" s="29"/>
      <c r="X186" s="33"/>
      <c r="Y186" s="64"/>
      <c r="AA186" s="73"/>
      <c r="AB186" s="64"/>
      <c r="AC186" s="64"/>
      <c r="AE186" s="73"/>
      <c r="AF186" s="14"/>
      <c r="AG186" s="64"/>
      <c r="AH186" s="73"/>
      <c r="AI186" s="29"/>
      <c r="AJ186" s="73"/>
      <c r="AK186" s="29"/>
      <c r="AL186" s="64"/>
      <c r="AM186" s="73"/>
      <c r="AN186" s="29"/>
      <c r="AO186" s="71"/>
      <c r="AQ186" s="74"/>
      <c r="AS186" s="14"/>
    </row>
    <row r="187" spans="1:48" ht="15.75" thickBot="1" x14ac:dyDescent="0.3"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29"/>
      <c r="V187" s="29"/>
      <c r="W187" s="29"/>
      <c r="X187" s="33"/>
      <c r="Y187" s="71"/>
      <c r="AA187" s="74"/>
      <c r="AB187" s="71"/>
      <c r="AC187" s="71"/>
      <c r="AE187" s="74"/>
      <c r="AG187" s="71"/>
      <c r="AH187" s="74"/>
      <c r="AI187" s="29"/>
      <c r="AJ187" s="74"/>
      <c r="AK187" s="29"/>
      <c r="AL187" s="71"/>
      <c r="AM187" s="74"/>
      <c r="AN187" s="29"/>
      <c r="AO187" s="75"/>
      <c r="AQ187" s="76"/>
      <c r="AR187" s="29"/>
      <c r="AS187" s="14"/>
    </row>
    <row r="188" spans="1:48" ht="15.75" thickBot="1" x14ac:dyDescent="0.3"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29"/>
      <c r="V188" s="29"/>
      <c r="W188" s="29"/>
      <c r="X188" s="33"/>
      <c r="Y188" s="75"/>
      <c r="AA188" s="76"/>
      <c r="AB188" s="75"/>
      <c r="AC188" s="75"/>
      <c r="AE188" s="76"/>
      <c r="AF188" s="23"/>
      <c r="AG188" s="75"/>
      <c r="AH188" s="76"/>
      <c r="AI188" s="29"/>
      <c r="AJ188" s="76"/>
      <c r="AK188" s="29"/>
      <c r="AL188" s="75"/>
      <c r="AM188" s="76"/>
      <c r="AN188" s="29"/>
      <c r="AO188" s="14"/>
      <c r="AQ188" s="29"/>
    </row>
    <row r="189" spans="1:48" ht="15.75" thickTop="1" x14ac:dyDescent="0.25"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29"/>
      <c r="V189" s="29"/>
      <c r="W189" s="29"/>
      <c r="X189" s="33"/>
      <c r="Y189" s="14"/>
      <c r="AA189" s="29"/>
      <c r="AB189" s="29"/>
      <c r="AC189" s="14"/>
      <c r="AE189" s="29"/>
      <c r="AG189" s="14"/>
      <c r="AH189" s="29"/>
      <c r="AI189" s="29"/>
      <c r="AJ189" s="29"/>
      <c r="AK189" s="29"/>
      <c r="AL189" s="14"/>
      <c r="AM189" s="29"/>
      <c r="AN189" s="29"/>
      <c r="AQ189" s="29"/>
    </row>
    <row r="190" spans="1:48" x14ac:dyDescent="0.25"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29"/>
      <c r="V190" s="29"/>
      <c r="W190" s="29"/>
      <c r="X190" s="33"/>
      <c r="AA190" s="29"/>
      <c r="AB190" s="29"/>
      <c r="AE190" s="29"/>
      <c r="AH190" s="29"/>
      <c r="AI190" s="29"/>
      <c r="AJ190" s="29"/>
      <c r="AK190" s="29"/>
      <c r="AM190" s="29"/>
      <c r="AN190" s="29"/>
    </row>
    <row r="191" spans="1:48" x14ac:dyDescent="0.25"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29"/>
      <c r="V191" s="29"/>
      <c r="W191" s="29"/>
      <c r="X191" s="33"/>
      <c r="AB191" s="29"/>
      <c r="AD191" s="14"/>
      <c r="AH191" s="29"/>
      <c r="AI191" s="29"/>
      <c r="AJ191" s="29"/>
      <c r="AK191" s="29"/>
      <c r="AM191" s="29"/>
      <c r="AN191" s="29"/>
    </row>
    <row r="192" spans="1:48" x14ac:dyDescent="0.25"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29"/>
      <c r="V192" s="29"/>
      <c r="W192" s="29"/>
      <c r="X192" s="33"/>
      <c r="AB192" s="29"/>
      <c r="AD192" s="14"/>
      <c r="AF192" s="23"/>
      <c r="AG192" s="14"/>
      <c r="AH192" s="29"/>
      <c r="AI192" s="29"/>
      <c r="AJ192" s="29"/>
      <c r="AK192" s="29"/>
      <c r="AM192" s="29"/>
      <c r="AN192" s="29"/>
    </row>
    <row r="193" spans="10:40" x14ac:dyDescent="0.25"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29"/>
      <c r="V193" s="29"/>
      <c r="W193" s="29"/>
      <c r="X193" s="33"/>
      <c r="AB193" s="29"/>
      <c r="AC193" s="29"/>
      <c r="AD193" s="14"/>
      <c r="AE193" s="14"/>
      <c r="AG193" s="23"/>
      <c r="AH193" s="29"/>
      <c r="AI193" s="29"/>
      <c r="AJ193" s="29"/>
      <c r="AK193" s="29"/>
      <c r="AM193" s="29"/>
      <c r="AN193" s="29"/>
    </row>
    <row r="194" spans="10:40" x14ac:dyDescent="0.25"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29"/>
      <c r="V194" s="29"/>
      <c r="W194" s="29"/>
      <c r="X194" s="33"/>
      <c r="AA194" s="29"/>
      <c r="AB194" s="29"/>
      <c r="AC194" s="29"/>
      <c r="AG194" s="23"/>
      <c r="AH194" s="29"/>
      <c r="AI194" s="29"/>
      <c r="AJ194" s="29"/>
      <c r="AK194" s="29"/>
      <c r="AM194" s="29"/>
      <c r="AN194" s="29"/>
    </row>
    <row r="195" spans="10:40" x14ac:dyDescent="0.25"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29"/>
      <c r="V195" s="29"/>
      <c r="W195" s="29"/>
      <c r="X195" s="33"/>
      <c r="AB195" s="29"/>
      <c r="AC195" s="29"/>
      <c r="AD195" s="14"/>
      <c r="AF195" s="14"/>
      <c r="AH195" s="29"/>
      <c r="AI195" s="29"/>
      <c r="AJ195" s="29"/>
      <c r="AK195" s="29"/>
      <c r="AM195" s="29"/>
      <c r="AN195" s="29"/>
    </row>
    <row r="196" spans="10:40" x14ac:dyDescent="0.25"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29"/>
      <c r="V196" s="29"/>
      <c r="W196" s="29"/>
      <c r="X196" s="33"/>
      <c r="AA196" s="29"/>
      <c r="AB196" s="29"/>
      <c r="AC196" s="29"/>
      <c r="AD196" s="14"/>
      <c r="AH196" s="29"/>
      <c r="AI196" s="29"/>
      <c r="AM196" s="14"/>
      <c r="AN196" s="29"/>
    </row>
    <row r="197" spans="10:40" x14ac:dyDescent="0.25"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29"/>
      <c r="V197" s="29"/>
      <c r="W197" s="29"/>
      <c r="X197" s="33"/>
      <c r="Y197" s="38"/>
      <c r="Z197" s="38"/>
      <c r="AA197" s="29"/>
      <c r="AB197" s="29"/>
      <c r="AC197" s="29"/>
      <c r="AE197" s="29"/>
      <c r="AF197" s="14"/>
      <c r="AH197" s="29"/>
      <c r="AI197" s="29"/>
      <c r="AM197" s="14"/>
      <c r="AN197" s="29"/>
    </row>
    <row r="198" spans="10:40" x14ac:dyDescent="0.25"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29"/>
      <c r="V198" s="29"/>
      <c r="W198" s="29"/>
      <c r="X198" s="33"/>
      <c r="Y198" s="38"/>
      <c r="Z198" s="38"/>
      <c r="AA198" s="29"/>
      <c r="AB198" s="29"/>
      <c r="AC198" s="29"/>
      <c r="AG198" s="23"/>
      <c r="AH198" s="29"/>
      <c r="AI198" s="29"/>
      <c r="AM198" s="14"/>
    </row>
    <row r="199" spans="10:40" x14ac:dyDescent="0.25"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29"/>
      <c r="V199" s="29"/>
      <c r="W199" s="29"/>
      <c r="X199" s="33"/>
      <c r="Y199" s="38"/>
      <c r="Z199" s="38"/>
      <c r="AA199" s="29"/>
      <c r="AB199" s="29"/>
      <c r="AC199" s="29"/>
      <c r="AH199" s="29"/>
      <c r="AI199" s="29"/>
    </row>
    <row r="200" spans="10:40" x14ac:dyDescent="0.25"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29"/>
      <c r="V200" s="29"/>
      <c r="W200" s="29"/>
      <c r="X200" s="33"/>
      <c r="Y200" s="38"/>
      <c r="Z200" s="38"/>
      <c r="AA200" s="29"/>
      <c r="AB200" s="29"/>
      <c r="AC200" s="29"/>
      <c r="AH200" s="29"/>
      <c r="AI200" s="29"/>
    </row>
    <row r="201" spans="10:40" x14ac:dyDescent="0.25"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29"/>
      <c r="V201" s="29"/>
      <c r="W201" s="29"/>
      <c r="X201" s="33"/>
      <c r="Y201" s="38"/>
      <c r="Z201" s="38"/>
      <c r="AA201" s="29"/>
      <c r="AB201" s="29"/>
      <c r="AC201" s="29"/>
      <c r="AE201" s="29"/>
    </row>
    <row r="202" spans="10:40" x14ac:dyDescent="0.25"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29"/>
      <c r="V202" s="29"/>
      <c r="W202" s="29"/>
      <c r="X202" s="33"/>
      <c r="Y202" s="38"/>
      <c r="Z202" s="38"/>
      <c r="AA202" s="29"/>
      <c r="AB202" s="29"/>
      <c r="AC202" s="29"/>
      <c r="AH202" s="14"/>
      <c r="AJ202" s="14"/>
    </row>
    <row r="203" spans="10:40" x14ac:dyDescent="0.25"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29"/>
      <c r="V203" s="29"/>
      <c r="W203" s="29"/>
      <c r="X203" s="33"/>
      <c r="Y203" s="38"/>
      <c r="Z203" s="38"/>
      <c r="AA203" s="29"/>
      <c r="AB203" s="29"/>
      <c r="AC203" s="29"/>
      <c r="AE203" s="14"/>
      <c r="AF203" s="14"/>
    </row>
    <row r="204" spans="10:40" x14ac:dyDescent="0.25"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29"/>
      <c r="V204" s="29"/>
      <c r="W204" s="29"/>
      <c r="X204" s="33"/>
      <c r="Y204" s="38"/>
      <c r="Z204" s="38"/>
      <c r="AA204" s="29"/>
      <c r="AB204" s="29"/>
      <c r="AC204" s="29"/>
    </row>
    <row r="205" spans="10:40" x14ac:dyDescent="0.25"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29"/>
      <c r="V205" s="29"/>
      <c r="W205" s="29"/>
      <c r="X205" s="33"/>
      <c r="Y205" s="38"/>
      <c r="Z205" s="38"/>
      <c r="AA205" s="29"/>
      <c r="AB205" s="29"/>
      <c r="AC205" s="29"/>
    </row>
    <row r="206" spans="10:40" x14ac:dyDescent="0.25"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29"/>
      <c r="V206" s="29"/>
      <c r="W206" s="29"/>
      <c r="X206" s="33"/>
      <c r="Y206" s="38"/>
      <c r="Z206" s="38"/>
      <c r="AA206" s="29"/>
      <c r="AB206" s="29"/>
      <c r="AC206" s="29"/>
    </row>
    <row r="207" spans="10:40" x14ac:dyDescent="0.25"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29"/>
      <c r="V207" s="29"/>
      <c r="W207" s="29"/>
      <c r="X207" s="33"/>
      <c r="Y207" s="38"/>
      <c r="Z207" s="38"/>
      <c r="AA207" s="29"/>
      <c r="AB207" s="29"/>
      <c r="AC207" s="29"/>
    </row>
    <row r="208" spans="10:40" x14ac:dyDescent="0.25"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29"/>
      <c r="V208" s="29"/>
      <c r="W208" s="29"/>
      <c r="X208" s="33"/>
      <c r="Y208" s="38"/>
      <c r="Z208" s="38"/>
      <c r="AA208" s="29"/>
      <c r="AB208" s="29"/>
      <c r="AC208" s="29"/>
    </row>
    <row r="209" spans="10:29" x14ac:dyDescent="0.25"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29"/>
      <c r="V209" s="29"/>
      <c r="W209" s="29"/>
      <c r="X209" s="33"/>
      <c r="Y209" s="38"/>
      <c r="Z209" s="38"/>
      <c r="AA209" s="29"/>
      <c r="AB209" s="29"/>
      <c r="AC209" s="29"/>
    </row>
    <row r="210" spans="10:29" x14ac:dyDescent="0.25"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29"/>
      <c r="V210" s="29"/>
      <c r="W210" s="29"/>
      <c r="X210" s="33"/>
      <c r="Y210" s="38"/>
      <c r="Z210" s="38"/>
      <c r="AA210" s="29"/>
      <c r="AB210" s="29"/>
      <c r="AC210" s="29"/>
    </row>
    <row r="211" spans="10:29" x14ac:dyDescent="0.25"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29"/>
      <c r="V211" s="29"/>
      <c r="W211" s="29"/>
      <c r="X211" s="33"/>
      <c r="Y211" s="38"/>
      <c r="Z211" s="38"/>
      <c r="AA211" s="29"/>
      <c r="AB211" s="29"/>
      <c r="AC211" s="29"/>
    </row>
    <row r="212" spans="10:29" x14ac:dyDescent="0.25"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29"/>
      <c r="V212" s="29"/>
      <c r="W212" s="29"/>
      <c r="X212" s="33"/>
      <c r="Y212" s="38"/>
      <c r="Z212" s="38"/>
      <c r="AA212" s="29"/>
      <c r="AB212" s="29"/>
      <c r="AC212" s="29"/>
    </row>
    <row r="213" spans="10:29" x14ac:dyDescent="0.25"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29"/>
      <c r="V213" s="29"/>
      <c r="W213" s="29"/>
      <c r="X213" s="33"/>
      <c r="Y213" s="38"/>
      <c r="Z213" s="38"/>
      <c r="AA213" s="29"/>
      <c r="AB213" s="29"/>
      <c r="AC213" s="29"/>
    </row>
    <row r="214" spans="10:29" x14ac:dyDescent="0.25"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29"/>
      <c r="V214" s="29"/>
      <c r="W214" s="29"/>
      <c r="X214" s="33"/>
      <c r="Y214" s="38"/>
      <c r="Z214" s="38"/>
      <c r="AA214" s="29"/>
      <c r="AB214" s="29"/>
      <c r="AC214" s="29"/>
    </row>
    <row r="215" spans="10:29" x14ac:dyDescent="0.25"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29"/>
      <c r="V215" s="29"/>
      <c r="W215" s="29"/>
      <c r="X215" s="33"/>
      <c r="Y215" s="38"/>
      <c r="Z215" s="38"/>
      <c r="AA215" s="29"/>
      <c r="AB215" s="29"/>
      <c r="AC215" s="29"/>
    </row>
    <row r="216" spans="10:29" x14ac:dyDescent="0.25"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29"/>
      <c r="V216" s="29"/>
      <c r="W216" s="29"/>
      <c r="X216" s="33"/>
      <c r="Y216" s="38"/>
      <c r="Z216" s="38"/>
      <c r="AA216" s="29"/>
      <c r="AB216" s="29"/>
      <c r="AC216" s="29"/>
    </row>
    <row r="217" spans="10:29" x14ac:dyDescent="0.25"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29"/>
      <c r="V217" s="29"/>
      <c r="W217" s="29"/>
      <c r="X217" s="33"/>
      <c r="Y217" s="38"/>
      <c r="Z217" s="38"/>
      <c r="AA217" s="29"/>
      <c r="AB217" s="29"/>
      <c r="AC217" s="29"/>
    </row>
    <row r="218" spans="10:29" x14ac:dyDescent="0.25"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29"/>
      <c r="V218" s="29"/>
      <c r="W218" s="29"/>
      <c r="X218" s="33"/>
      <c r="Y218" s="38"/>
      <c r="Z218" s="38"/>
      <c r="AA218" s="29"/>
      <c r="AB218" s="29"/>
      <c r="AC218" s="29"/>
    </row>
    <row r="219" spans="10:29" x14ac:dyDescent="0.25"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29"/>
      <c r="V219" s="29"/>
      <c r="W219" s="29"/>
      <c r="X219" s="33"/>
      <c r="Y219" s="38"/>
      <c r="Z219" s="38"/>
      <c r="AA219" s="29"/>
      <c r="AB219" s="29"/>
      <c r="AC219" s="29"/>
    </row>
    <row r="220" spans="10:29" x14ac:dyDescent="0.25"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29"/>
      <c r="V220" s="29"/>
      <c r="W220" s="29"/>
      <c r="X220" s="33"/>
      <c r="Y220" s="38"/>
      <c r="Z220" s="38"/>
      <c r="AA220" s="29"/>
      <c r="AB220" s="29"/>
      <c r="AC220" s="29"/>
    </row>
    <row r="221" spans="10:29" x14ac:dyDescent="0.25"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29"/>
      <c r="V221" s="29"/>
      <c r="W221" s="29"/>
      <c r="X221" s="33"/>
      <c r="Y221" s="38"/>
      <c r="Z221" s="38"/>
      <c r="AA221" s="29"/>
      <c r="AB221" s="29"/>
      <c r="AC221" s="29"/>
    </row>
    <row r="222" spans="10:29" x14ac:dyDescent="0.25"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29"/>
      <c r="V222" s="29"/>
      <c r="W222" s="29"/>
      <c r="X222" s="33"/>
      <c r="Y222" s="38"/>
      <c r="Z222" s="38"/>
      <c r="AA222" s="29"/>
      <c r="AB222" s="29"/>
      <c r="AC222" s="29"/>
    </row>
    <row r="223" spans="10:29" x14ac:dyDescent="0.25"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29"/>
      <c r="V223" s="29"/>
      <c r="W223" s="29"/>
      <c r="X223" s="33"/>
      <c r="Y223" s="38"/>
      <c r="Z223" s="38"/>
      <c r="AA223" s="29"/>
      <c r="AB223" s="29"/>
      <c r="AC223" s="29"/>
    </row>
    <row r="224" spans="10:29" x14ac:dyDescent="0.25"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29"/>
      <c r="V224" s="29"/>
      <c r="W224" s="29"/>
      <c r="X224" s="33"/>
      <c r="Y224" s="38"/>
      <c r="Z224" s="38"/>
      <c r="AA224" s="29"/>
      <c r="AB224" s="29"/>
      <c r="AC224" s="29"/>
    </row>
    <row r="225" spans="10:29" x14ac:dyDescent="0.25"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29"/>
      <c r="V225" s="29"/>
      <c r="W225" s="29"/>
      <c r="X225" s="33"/>
      <c r="Y225" s="38"/>
      <c r="Z225" s="38"/>
      <c r="AA225" s="29"/>
      <c r="AB225" s="29"/>
      <c r="AC225" s="29"/>
    </row>
    <row r="226" spans="10:29" x14ac:dyDescent="0.25"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29"/>
      <c r="V226" s="29"/>
      <c r="W226" s="29"/>
      <c r="X226" s="33"/>
      <c r="Y226" s="38"/>
      <c r="Z226" s="38"/>
      <c r="AA226" s="29"/>
      <c r="AB226" s="29"/>
      <c r="AC226" s="29"/>
    </row>
    <row r="227" spans="10:29" x14ac:dyDescent="0.25"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29"/>
      <c r="V227" s="29"/>
      <c r="W227" s="29"/>
      <c r="X227" s="29"/>
    </row>
    <row r="228" spans="10:29" x14ac:dyDescent="0.25"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29"/>
      <c r="V228" s="29"/>
      <c r="W228" s="29"/>
      <c r="X228" s="29"/>
    </row>
    <row r="229" spans="10:29" x14ac:dyDescent="0.25"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29"/>
      <c r="V229" s="29"/>
      <c r="W229" s="29"/>
      <c r="X229" s="29"/>
    </row>
    <row r="230" spans="10:29" x14ac:dyDescent="0.25"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29"/>
      <c r="V230" s="29"/>
      <c r="W230" s="29"/>
      <c r="X230" s="29"/>
    </row>
    <row r="231" spans="10:29" x14ac:dyDescent="0.25"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29"/>
      <c r="V231" s="29"/>
      <c r="W231" s="29"/>
      <c r="X231" s="29"/>
    </row>
    <row r="232" spans="10:29" x14ac:dyDescent="0.25"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29"/>
      <c r="V232" s="29"/>
      <c r="W232" s="29"/>
      <c r="X232" s="29"/>
    </row>
    <row r="233" spans="10:29" x14ac:dyDescent="0.25"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29"/>
      <c r="V233" s="29"/>
      <c r="W233" s="29"/>
      <c r="X233" s="29"/>
    </row>
    <row r="234" spans="10:29" x14ac:dyDescent="0.25"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29"/>
      <c r="V234" s="29"/>
      <c r="W234" s="29"/>
      <c r="X234" s="29"/>
    </row>
    <row r="235" spans="10:29" x14ac:dyDescent="0.25"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29"/>
      <c r="V235" s="29"/>
      <c r="W235" s="29"/>
      <c r="X235" s="29"/>
    </row>
    <row r="236" spans="10:29" x14ac:dyDescent="0.25"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29"/>
      <c r="V236" s="29"/>
      <c r="W236" s="29"/>
      <c r="X236" s="29"/>
    </row>
    <row r="237" spans="10:29" x14ac:dyDescent="0.25"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29"/>
      <c r="V237" s="29"/>
      <c r="W237" s="29"/>
      <c r="X237" s="29"/>
    </row>
    <row r="238" spans="10:29" x14ac:dyDescent="0.25"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29"/>
      <c r="V238" s="29"/>
      <c r="W238" s="29"/>
      <c r="X238" s="29"/>
    </row>
    <row r="239" spans="10:29" x14ac:dyDescent="0.25"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29"/>
      <c r="V239" s="29"/>
      <c r="W239" s="29"/>
      <c r="X239" s="29"/>
    </row>
    <row r="240" spans="10:29" x14ac:dyDescent="0.25"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29"/>
      <c r="V240" s="29"/>
      <c r="W240" s="29"/>
      <c r="X240" s="29"/>
    </row>
    <row r="241" spans="10:24" x14ac:dyDescent="0.25"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29"/>
      <c r="V241" s="29"/>
      <c r="W241" s="29"/>
      <c r="X241" s="29"/>
    </row>
    <row r="242" spans="10:24" x14ac:dyDescent="0.25"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29"/>
      <c r="V242" s="29"/>
      <c r="W242" s="29"/>
      <c r="X242" s="29"/>
    </row>
    <row r="243" spans="10:24" x14ac:dyDescent="0.25"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29"/>
      <c r="V243" s="29"/>
      <c r="W243" s="29"/>
      <c r="X243" s="29"/>
    </row>
    <row r="244" spans="10:24" x14ac:dyDescent="0.25"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29"/>
      <c r="V244" s="29"/>
      <c r="W244" s="29"/>
      <c r="X244" s="29"/>
    </row>
    <row r="245" spans="10:24" x14ac:dyDescent="0.25"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29"/>
      <c r="V245" s="29"/>
      <c r="W245" s="29"/>
      <c r="X245" s="29"/>
    </row>
    <row r="246" spans="10:24" x14ac:dyDescent="0.25"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29"/>
      <c r="V246" s="29"/>
      <c r="W246" s="29"/>
      <c r="X246" s="29"/>
    </row>
    <row r="247" spans="10:24" x14ac:dyDescent="0.25"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29"/>
      <c r="V247" s="29"/>
      <c r="W247" s="29"/>
      <c r="X247" s="29"/>
    </row>
    <row r="248" spans="10:24" x14ac:dyDescent="0.25"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29"/>
      <c r="V248" s="29"/>
      <c r="W248" s="29"/>
      <c r="X248" s="29"/>
    </row>
    <row r="249" spans="10:24" x14ac:dyDescent="0.25"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29"/>
      <c r="V249" s="29"/>
      <c r="W249" s="29"/>
      <c r="X249" s="29"/>
    </row>
    <row r="250" spans="10:24" x14ac:dyDescent="0.25"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29"/>
      <c r="V250" s="29"/>
      <c r="W250" s="29"/>
      <c r="X250" s="29"/>
    </row>
    <row r="251" spans="10:24" x14ac:dyDescent="0.25"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29"/>
      <c r="V251" s="29"/>
      <c r="W251" s="29"/>
      <c r="X251" s="29"/>
    </row>
  </sheetData>
  <mergeCells count="12">
    <mergeCell ref="AO155:AP155"/>
    <mergeCell ref="A5:U5"/>
    <mergeCell ref="A6:U6"/>
    <mergeCell ref="A7:U7"/>
    <mergeCell ref="A9:E9"/>
    <mergeCell ref="AL155:AM155"/>
    <mergeCell ref="Y156:Z156"/>
    <mergeCell ref="AC156:AD156"/>
    <mergeCell ref="AL156:AM156"/>
    <mergeCell ref="AO156:AP156"/>
    <mergeCell ref="Y157:Z157"/>
    <mergeCell ref="AC157:AD157"/>
  </mergeCells>
  <pageMargins left="0.70866141732283472" right="0.70866141732283472" top="0.74803149606299213" bottom="0.74803149606299213" header="0.31496062992125984" footer="0.31496062992125984"/>
  <pageSetup paperSize="5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2023</vt:lpstr>
      <vt:lpstr>'DICIEMBRE 2023'!Títulos_a_imprimir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 alexandra peralta green</cp:lastModifiedBy>
  <cp:lastPrinted>2024-01-23T16:19:48Z</cp:lastPrinted>
  <dcterms:created xsi:type="dcterms:W3CDTF">2015-06-05T18:19:34Z</dcterms:created>
  <dcterms:modified xsi:type="dcterms:W3CDTF">2024-01-24T15:56:31Z</dcterms:modified>
</cp:coreProperties>
</file>